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mof2021-my.sharepoint.com/personal/mofi0259_mof_go_jp/Documents/作業用フォルダ/"/>
    </mc:Choice>
  </mc:AlternateContent>
  <xr:revisionPtr revIDLastSave="1" documentId="13_ncr:1_{0976C6AD-3B1D-4774-B812-8884B5722DA8}" xr6:coauthVersionLast="47" xr6:coauthVersionMax="47" xr10:uidLastSave="{2806215B-2BD2-4733-B8AD-B30BE2C86EC1}"/>
  <bookViews>
    <workbookView xWindow="-110" yWindow="-110" windowWidth="19420" windowHeight="10420" xr2:uid="{00000000-000D-0000-FFFF-FFFF00000000}"/>
  </bookViews>
  <sheets>
    <sheet name="入力シート" sheetId="4" r:id="rId1"/>
    <sheet name="計算シート" sheetId="2" r:id="rId2"/>
    <sheet name="Sheet1" sheetId="3" state="hidden" r:id="rId3"/>
  </sheets>
  <definedNames>
    <definedName name="_xlnm.Print_Area" localSheetId="1">計算シート!$A$1:$AF$35</definedName>
    <definedName name="_xlnm.Print_Area" localSheetId="0">入力シート!$A$1:$O$24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E6" i="2"/>
  <c r="E3" i="2"/>
  <c r="E21" i="2"/>
  <c r="E13" i="2"/>
  <c r="D3" i="2"/>
  <c r="E18" i="2" l="1"/>
  <c r="E19" i="2"/>
  <c r="E17" i="2"/>
  <c r="E10" i="2"/>
  <c r="E11" i="2"/>
  <c r="E12" i="2"/>
  <c r="E14" i="2"/>
  <c r="E9" i="2"/>
  <c r="E5" i="2"/>
  <c r="J5" i="2" s="1"/>
  <c r="J6" i="2"/>
  <c r="E7" i="2"/>
  <c r="J7" i="2" s="1"/>
  <c r="J8" i="2"/>
  <c r="E4" i="2"/>
  <c r="J4" i="2" s="1"/>
  <c r="AC4" i="2" l="1"/>
  <c r="AB4" i="2"/>
  <c r="AA4" i="2"/>
  <c r="AE4" i="2"/>
  <c r="Z4" i="2"/>
  <c r="W4" i="2"/>
  <c r="Y4" i="2"/>
  <c r="X4" i="2"/>
  <c r="AD4" i="2"/>
  <c r="E15" i="2"/>
  <c r="E22" i="2" s="1"/>
  <c r="E23" i="2" s="1"/>
  <c r="AE8" i="2"/>
  <c r="AD8" i="2"/>
  <c r="AC8" i="2"/>
  <c r="AB8" i="2"/>
  <c r="AA8" i="2"/>
  <c r="Z8" i="2"/>
  <c r="Y8" i="2"/>
  <c r="X8" i="2"/>
  <c r="W8" i="2"/>
  <c r="AE7" i="2"/>
  <c r="AD7" i="2"/>
  <c r="AC7" i="2"/>
  <c r="AB7" i="2"/>
  <c r="AA7" i="2"/>
  <c r="Z7" i="2"/>
  <c r="Y7" i="2"/>
  <c r="X7" i="2"/>
  <c r="W7" i="2"/>
  <c r="AE6" i="2"/>
  <c r="AD6" i="2"/>
  <c r="AC6" i="2"/>
  <c r="AB6" i="2"/>
  <c r="AA6" i="2"/>
  <c r="Z6" i="2"/>
  <c r="Y6" i="2"/>
  <c r="X6" i="2"/>
  <c r="W6" i="2"/>
  <c r="AE5" i="2"/>
  <c r="AD5" i="2"/>
  <c r="AC5" i="2"/>
  <c r="AB5" i="2"/>
  <c r="AA5" i="2"/>
  <c r="Z5" i="2"/>
  <c r="Y5" i="2"/>
  <c r="X5" i="2"/>
  <c r="W5" i="2"/>
  <c r="G20" i="2" l="1"/>
  <c r="F20" i="2" s="1"/>
  <c r="I23" i="2" s="1"/>
  <c r="G19" i="2"/>
  <c r="F19" i="2" s="1"/>
  <c r="G18" i="2"/>
  <c r="F18" i="2" s="1"/>
  <c r="G17" i="2"/>
  <c r="F17" i="2" s="1"/>
  <c r="G13" i="2"/>
  <c r="F13" i="2" s="1"/>
  <c r="G12" i="2"/>
  <c r="F12" i="2" s="1"/>
  <c r="G11" i="2"/>
  <c r="F11" i="2" s="1"/>
  <c r="G10" i="2"/>
  <c r="F10" i="2" s="1"/>
  <c r="G9" i="2"/>
  <c r="F9" i="2" s="1"/>
  <c r="G8" i="2"/>
  <c r="F8" i="2" s="1"/>
  <c r="G7" i="2"/>
  <c r="F7" i="2" s="1"/>
  <c r="G6" i="2"/>
  <c r="F6" i="2" s="1"/>
  <c r="G5" i="2"/>
  <c r="F5" i="2" s="1"/>
  <c r="G4" i="2"/>
  <c r="F4" i="2" s="1"/>
  <c r="D15" i="2"/>
  <c r="I15" i="2" l="1"/>
  <c r="F3" i="2"/>
  <c r="K4" i="2"/>
  <c r="K6" i="2"/>
  <c r="K5" i="2"/>
  <c r="K8" i="2"/>
  <c r="K7" i="2"/>
  <c r="N3" i="2" l="1"/>
  <c r="D23" i="2" l="1"/>
  <c r="Q3" i="2" s="1"/>
  <c r="J10" i="4" l="1"/>
  <c r="L10" i="4" s="1"/>
  <c r="G3" i="2"/>
  <c r="B7" i="4" s="1"/>
  <c r="F15" i="2"/>
  <c r="P3" i="2" l="1"/>
  <c r="F22" i="2"/>
  <c r="F23" i="2" s="1"/>
  <c r="R3" i="2" s="1"/>
  <c r="I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  <comment ref="J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<sst xmlns="http://schemas.openxmlformats.org/spreadsheetml/2006/main" count="155" uniqueCount="122">
  <si>
    <t>社会保障</t>
    <rPh sb="0" eb="2">
      <t>シャカイ</t>
    </rPh>
    <rPh sb="2" eb="4">
      <t>ホショウ</t>
    </rPh>
    <phoneticPr fontId="1"/>
  </si>
  <si>
    <t>公共事業</t>
    <rPh sb="0" eb="2">
      <t>コウキョウ</t>
    </rPh>
    <rPh sb="2" eb="4">
      <t>ジギョウ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</si>
  <si>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</si>
  <si>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</si>
  <si>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現状維持</t>
    <rPh sb="0" eb="2">
      <t>ゲンジョウ</t>
    </rPh>
    <rPh sb="2" eb="4">
      <t>イジ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</si>
  <si>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</si>
  <si>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</si>
  <si>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</si>
  <si>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</si>
  <si>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</si>
  <si>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</si>
  <si>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</si>
  <si>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</si>
  <si>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</si>
  <si>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</si>
  <si>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</si>
  <si>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</si>
  <si>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</si>
  <si>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</si>
  <si>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</si>
  <si>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</si>
  <si>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</si>
  <si>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</si>
  <si>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</si>
  <si>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</si>
  <si>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</si>
  <si>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</si>
  <si>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</si>
  <si>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</si>
  <si>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</si>
  <si>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</si>
  <si>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</si>
  <si>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</si>
  <si>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</si>
  <si>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</si>
  <si>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</si>
  <si>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</si>
  <si>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</si>
  <si>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</si>
  <si>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</si>
  <si>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</si>
  <si>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</si>
  <si>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</si>
  <si>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</si>
  <si>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財務大臣になって予算を作ろう！</t>
    <rPh sb="8" eb="10">
      <t>ヨサン</t>
    </rPh>
    <rPh sb="11" eb="12">
      <t>ツク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</si>
  <si>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</si>
  <si>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</si>
  <si>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</si>
  <si>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</si>
  <si>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</si>
  <si>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</si>
  <si>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</si>
  <si>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</si>
  <si>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</si>
  <si>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</si>
  <si>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</si>
  <si>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</si>
  <si>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</si>
  <si>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</si>
  <si>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</si>
  <si>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</si>
  <si>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</si>
  <si>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</si>
  <si>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</si>
  <si>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</si>
  <si>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</si>
  <si>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</si>
  <si>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年金</t>
    <rPh sb="0" eb="2">
      <t>ネンキン</t>
    </rPh>
    <phoneticPr fontId="1"/>
  </si>
  <si>
    <t>医療</t>
    <rPh sb="0" eb="2">
      <t>イリョウ</t>
    </rPh>
    <phoneticPr fontId="1"/>
  </si>
  <si>
    <t>介護</t>
    <rPh sb="0" eb="2">
      <t>カイゴ</t>
    </rPh>
    <phoneticPr fontId="1"/>
  </si>
  <si>
    <t>生活保護ほか</t>
    <rPh sb="0" eb="2">
      <t>セイカツ</t>
    </rPh>
    <rPh sb="2" eb="4">
      <t>ホゴ</t>
    </rPh>
    <phoneticPr fontId="1"/>
  </si>
  <si>
    <t>社会保障内訳グラフ用</t>
    <rPh sb="0" eb="2">
      <t>シャカイ</t>
    </rPh>
    <rPh sb="2" eb="4">
      <t>ホショウ</t>
    </rPh>
    <rPh sb="4" eb="6">
      <t>ウチワケ</t>
    </rPh>
    <rPh sb="9" eb="10">
      <t>ヨウ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</si>
  <si>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</si>
  <si>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</si>
  <si>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</si>
  <si>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年  金</t>
    <rPh sb="0" eb="1">
      <t>ネン</t>
    </rPh>
    <rPh sb="3" eb="4">
      <t>キン</t>
    </rPh>
    <phoneticPr fontId="1"/>
  </si>
  <si>
    <t>医  療</t>
    <rPh sb="0" eb="1">
      <t>イ</t>
    </rPh>
    <rPh sb="3" eb="4">
      <t>リョウ</t>
    </rPh>
    <phoneticPr fontId="1"/>
  </si>
  <si>
    <t>介  護</t>
    <rPh sb="0" eb="1">
      <t>スケ</t>
    </rPh>
    <rPh sb="3" eb="4">
      <t>マモル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</si>
  <si>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</si>
  <si>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</si>
  <si>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0%"増額";0%"減額";"現状維持"</t>
  </si>
  <si>
    <t>内　　　　訳</t>
    <rPh sb="0" eb="1">
      <t>ウチ</t>
    </rPh>
    <rPh sb="5" eb="6">
      <t>ヤク</t>
    </rPh>
    <phoneticPr fontId="1"/>
  </si>
  <si>
    <t>１００％増</t>
    <phoneticPr fontId="1"/>
  </si>
  <si>
    <t>５０％増</t>
    <phoneticPr fontId="1"/>
  </si>
  <si>
    <t>３０％増</t>
    <phoneticPr fontId="1"/>
  </si>
  <si>
    <t>１０％増</t>
    <phoneticPr fontId="1"/>
  </si>
  <si>
    <t>５％増</t>
    <phoneticPr fontId="1"/>
  </si>
  <si>
    <t>５％減</t>
    <phoneticPr fontId="1"/>
  </si>
  <si>
    <t>１０％減</t>
    <phoneticPr fontId="1"/>
  </si>
  <si>
    <t>３０％減</t>
    <phoneticPr fontId="1"/>
  </si>
  <si>
    <t>５０％減</t>
    <phoneticPr fontId="1"/>
  </si>
  <si>
    <t>１００％減</t>
    <phoneticPr fontId="1"/>
  </si>
  <si>
    <t>社会保障</t>
    <rPh sb="0" eb="1">
      <t>シャ</t>
    </rPh>
    <rPh sb="1" eb="2">
      <t>カイ</t>
    </rPh>
    <rPh sb="2" eb="3">
      <t>タモツ</t>
    </rPh>
    <rPh sb="3" eb="4">
      <t>ショウ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</si>
  <si>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</si>
  <si>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</si>
  <si>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</si>
  <si>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予算案</t>
    <rPh sb="0" eb="2">
      <t>ヨサン</t>
    </rPh>
    <rPh sb="2" eb="3">
      <t>アン</t>
    </rPh>
    <phoneticPr fontId="1"/>
  </si>
  <si>
    <t>子ども・子育て</t>
    <rPh sb="0" eb="1">
      <t>コ</t>
    </rPh>
    <rPh sb="4" eb="6">
      <t>コソダ</t>
    </rPh>
    <phoneticPr fontId="1"/>
  </si>
  <si>
    <t>その他の税</t>
    <rPh sb="2" eb="3">
      <t>タ</t>
    </rPh>
    <rPh sb="4" eb="5">
      <t>ゼイ</t>
    </rPh>
    <phoneticPr fontId="1"/>
  </si>
  <si>
    <t>予算案では借金の総額が</t>
    <rPh sb="0" eb="2">
      <t>ヨサン</t>
    </rPh>
    <rPh sb="2" eb="3">
      <t>アン</t>
    </rPh>
    <rPh sb="5" eb="7">
      <t>シャッキン</t>
    </rPh>
    <rPh sb="8" eb="10">
      <t>ソウガク</t>
    </rPh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</si>
  <si>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</si>
  <si>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</si>
  <si>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５０％増</t>
    <phoneticPr fontId="12"/>
  </si>
  <si>
    <t>３０％増</t>
    <phoneticPr fontId="12"/>
  </si>
  <si>
    <t>５％増</t>
    <phoneticPr fontId="12"/>
  </si>
  <si>
    <t>５％減</t>
    <phoneticPr fontId="12"/>
  </si>
  <si>
    <t>５０％減</t>
    <phoneticPr fontId="12"/>
  </si>
  <si>
    <t>１００％増</t>
    <phoneticPr fontId="12"/>
  </si>
  <si>
    <t>１０％増</t>
    <phoneticPr fontId="12"/>
  </si>
  <si>
    <t>１０％減</t>
    <phoneticPr fontId="12"/>
  </si>
  <si>
    <t>３０％減</t>
    <phoneticPr fontId="12"/>
  </si>
  <si>
    <t>１００％減</t>
    <phoneticPr fontId="12"/>
  </si>
  <si>
    <t>（単位：兆）</t>
    <rPh sb="1" eb="3">
      <t>タンイ</t>
    </rPh>
    <phoneticPr fontId="1"/>
  </si>
  <si>
    <t>5年度
（既定値）</t>
    <rPh sb="1" eb="2">
      <t>ネン</t>
    </rPh>
    <rPh sb="2" eb="3">
      <t>ド</t>
    </rPh>
    <rPh sb="5" eb="8">
      <t>キテイチ</t>
    </rPh>
    <phoneticPr fontId="1"/>
  </si>
  <si>
    <t>5年度</t>
    <rPh sb="1" eb="3">
      <t>ネンド</t>
    </rPh>
    <phoneticPr fontId="1"/>
  </si>
  <si>
    <t>5年度</t>
    <rPh sb="1" eb="2">
      <t>ネン</t>
    </rPh>
    <rPh sb="2" eb="3">
      <t>ド</t>
    </rPh>
    <phoneticPr fontId="1"/>
  </si>
  <si>
    <t>公共事業</t>
    <rPh sb="0" eb="4">
      <t>コウキョウジギョウ</t>
    </rPh>
    <phoneticPr fontId="1"/>
  </si>
  <si>
    <t>５年度</t>
    <rPh sb="1" eb="3">
      <t>ネンド</t>
    </rPh>
    <phoneticPr fontId="1"/>
  </si>
  <si>
    <t>　　　　　　　※変更前の予算では、借金の総額は11兆円増えます</t>
    <rPh sb="8" eb="10">
      <t>ヘンコウ</t>
    </rPh>
    <rPh sb="10" eb="11">
      <t>マエ</t>
    </rPh>
    <rPh sb="12" eb="14">
      <t>ヨサン</t>
    </rPh>
    <rPh sb="17" eb="19">
      <t>シャッキン</t>
    </rPh>
    <rPh sb="20" eb="22">
      <t>ソウガク</t>
    </rPh>
    <rPh sb="25" eb="27">
      <t>チョウエン</t>
    </rPh>
    <rPh sb="27" eb="28">
      <t>フ</t>
    </rPh>
    <phoneticPr fontId="1"/>
  </si>
  <si>
    <t>現状維持
(25兆円)</t>
    <rPh sb="0" eb="2">
      <t>ゲンジョウ</t>
    </rPh>
    <rPh sb="2" eb="4">
      <t>イジ</t>
    </rPh>
    <rPh sb="8" eb="10">
      <t>チョウエン</t>
    </rPh>
    <phoneticPr fontId="1"/>
  </si>
  <si>
    <t>現状維持
(９兆円)</t>
    <rPh sb="0" eb="2">
      <t>ゲンジョウ</t>
    </rPh>
    <rPh sb="2" eb="4">
      <t>イジ</t>
    </rPh>
    <rPh sb="7" eb="9">
      <t>チョウエン</t>
    </rPh>
    <phoneticPr fontId="1"/>
  </si>
  <si>
    <t>※参考：令和5年度予算のポイントP12,令和5年度社会保障のポイントＰ2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</si>
</sst>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％&quot;;[DBNum3][$-411]0&quot;%&quot;&quot;減&quot;"/>
    <numFmt numFmtId="179" formatCode="[DBNum3][$-411]0&quot;%&quot;&quot;増額&quot;;[DBNum3][$-411]0&quot;%&quot;&quot;減額&quot;;&quot;現状維持&quot;"/>
    <numFmt numFmtId="180" formatCode="#,##0.0;[Red]\-#,##0.0"/>
    <numFmt numFmtId="181" formatCode="[DBNum3][$-411]#,##0&quot;兆&quot;&quot;円&quot;;&quot;▲ &quot;#,##0&quot;兆&quot;&quot;円&quot;"/>
    <numFmt numFmtId="182" formatCode="[DBNum3][$-411]#,##0&quot;兆&quot;&quot;円&quot;;[DBNum3][$-411]&quot;－&quot;#,##0&quot;兆&quot;&quot;円&quot;"/>
    <numFmt numFmtId="183" formatCode="[DBNum3][$-411]0&quot;%&quot;&quot;増&quot;;[DBNum3][$-411]0&quot;%&quot;&quot;減&quot;;&quot;現状維持&quot;"/>
    <numFmt numFmtId="184" formatCode="[DBNum3][$-411]0&quot;兆円&quot;;[DBNum3][$-411]0&quot;兆円&quot;;&quot;現状維持&quot;"/>
    <numFmt numFmtId="185" formatCode="0.0"/>
    <numFmt numFmtId="186" formatCode="#,##0.0_ ;[Red]\-#,##0.0\ 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2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9.5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.5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sz val="2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2" fontId="0" fillId="4" borderId="1" xfId="0" applyNumberFormat="1" applyFill="1" applyBorder="1">
      <alignment vertical="center"/>
    </xf>
    <xf numFmtId="0" fontId="9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 wrapText="1"/>
    </xf>
    <xf numFmtId="0" fontId="8" fillId="2" borderId="1" xfId="0" applyFont="1" applyFill="1" applyBorder="1">
      <alignment vertical="center"/>
    </xf>
    <xf numFmtId="0" fontId="11" fillId="0" borderId="0" xfId="0" applyFont="1">
      <alignment vertical="center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180" fontId="0" fillId="4" borderId="1" xfId="1" applyNumberFormat="1" applyFont="1" applyFill="1" applyBorder="1">
      <alignment vertical="center"/>
    </xf>
    <xf numFmtId="0" fontId="0" fillId="7" borderId="0" xfId="0" applyFill="1">
      <alignment vertical="center"/>
    </xf>
    <xf numFmtId="185" fontId="0" fillId="0" borderId="1" xfId="0" applyNumberFormat="1" applyBorder="1">
      <alignment vertical="center"/>
    </xf>
    <xf numFmtId="180" fontId="0" fillId="0" borderId="1" xfId="1" applyNumberFormat="1" applyFont="1" applyBorder="1">
      <alignment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>
      <alignment vertical="center"/>
    </xf>
    <xf numFmtId="0" fontId="0" fillId="2" borderId="1" xfId="0" applyFill="1" applyBorder="1" applyAlignment="1">
      <alignment horizontal="center" vertical="center" wrapText="1"/>
    </xf>
    <xf numFmtId="185" fontId="0" fillId="4" borderId="1" xfId="0" applyNumberFormat="1" applyFill="1" applyBorder="1">
      <alignment vertical="center"/>
    </xf>
    <xf numFmtId="180" fontId="0" fillId="0" borderId="1" xfId="1" applyNumberFormat="1" applyFont="1" applyFill="1" applyBorder="1">
      <alignment vertical="center"/>
    </xf>
    <xf numFmtId="180" fontId="0" fillId="0" borderId="1" xfId="0" applyNumberFormat="1" applyBorder="1">
      <alignment vertical="center"/>
    </xf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180" fontId="0" fillId="0" borderId="0" xfId="0" applyNumberFormat="1">
      <alignment vertical="center"/>
    </xf>
    <xf numFmtId="1" fontId="0" fillId="4" borderId="1" xfId="0" applyNumberFormat="1" applyFill="1" applyBorder="1">
      <alignment vertical="center"/>
    </xf>
    <xf numFmtId="1" fontId="0" fillId="4" borderId="1" xfId="1" applyNumberFormat="1" applyFont="1" applyFill="1" applyBorder="1">
      <alignment vertical="center"/>
    </xf>
    <xf numFmtId="186" fontId="0" fillId="0" borderId="1" xfId="0" applyNumberFormat="1" applyBorder="1">
      <alignment vertical="center"/>
    </xf>
    <xf numFmtId="185" fontId="0" fillId="4" borderId="1" xfId="0" applyNumberFormat="1" applyFill="1" applyBorder="1" applyAlignment="1">
      <alignment vertical="center" wrapText="1"/>
    </xf>
    <xf numFmtId="0" fontId="18" fillId="5" borderId="0" xfId="0" applyFont="1" applyFill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179" fontId="18" fillId="5" borderId="0" xfId="0" applyNumberFormat="1" applyFont="1" applyFill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177" fontId="32" fillId="0" borderId="0" xfId="0" applyNumberFormat="1" applyFont="1" applyProtection="1">
      <alignment vertical="center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1" fillId="0" borderId="0" xfId="0" applyFont="1" applyProtection="1">
      <alignment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83" fontId="21" fillId="5" borderId="2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181" fontId="22" fillId="5" borderId="8" xfId="0" applyNumberFormat="1" applyFont="1" applyFill="1" applyBorder="1" applyAlignment="1">
      <alignment horizontal="center" vertical="center"/>
    </xf>
    <xf numFmtId="181" fontId="23" fillId="5" borderId="0" xfId="0" applyNumberFormat="1" applyFont="1" applyFill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182" fontId="26" fillId="0" borderId="0" xfId="0" applyNumberFormat="1" applyFont="1" applyAlignment="1">
      <alignment horizontal="right" vertical="center"/>
    </xf>
    <xf numFmtId="0" fontId="21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81" fontId="28" fillId="5" borderId="4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center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177" fontId="32" fillId="0" borderId="0" xfId="0" applyNumberFormat="1" applyFont="1" applyAlignment="1" applyProtection="1">
      <alignment horizontal="center" vertical="center"/>
      <protection locked="0"/>
    </xf>
    <xf numFmtId="184" fontId="24" fillId="0" borderId="10" xfId="0" applyNumberFormat="1" applyFont="1" applyBorder="1" applyAlignment="1">
      <alignment horizontal="right" vertical="center" wrapText="1"/>
    </xf>
    <xf numFmtId="184" fontId="24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horizontal="center" vertical="center"/>
      <protection locked="0"/>
    </xf>
    <xf numFmtId="0" fontId="14" fillId="8" borderId="5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8"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9B93"/>
      <color rgb="FFCC99FF"/>
      <color rgb="FFFFCCCC"/>
      <color rgb="FFFFFFCC"/>
      <color rgb="FFFFFF99"/>
      <color rgb="FFFFCC99"/>
      <color rgb="FFE2F75D"/>
      <color rgb="FFFF5050"/>
      <color rgb="FFFFE181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9B93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計算シート!$D$3:$F$3</c15:sqref>
                  </c15:fullRef>
                </c:ext>
              </c:extLst>
              <c:f>計算シート!$E$3:$F$3</c:f>
              <c:numCache>
                <c:formatCode>0.0</c:formatCode>
                <c:ptCount val="2"/>
                <c:pt idx="0">
                  <c:v>37</c:v>
                </c:pt>
                <c:pt idx="1" formatCode="#,##0.0;[Red]\-#,##0.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20A-870A-1F8C769B21C9}"/>
            </c:ext>
          </c:extLst>
        </c:ser>
        <c:ser>
          <c:idx val="1"/>
          <c:order val="1"/>
          <c:tx>
            <c:strRef>
              <c:f>計算シート!$C$9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708692318735493"/>
                      <c:h val="0.124558633225907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48D-420A-870A-1F8C769B21C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627711617487291"/>
                      <c:h val="0.141968621546601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計算シート!$D$9:$F$9</c15:sqref>
                  </c15:fullRef>
                </c:ext>
              </c:extLst>
              <c:f>計算シート!$E$9:$F$9</c:f>
              <c:numCache>
                <c:formatCode>0.0</c:formatCode>
                <c:ptCount val="2"/>
                <c:pt idx="0">
                  <c:v>16</c:v>
                </c:pt>
                <c:pt idx="1" formatCode="#,##0.0;[Red]\-#,##0.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D-420A-870A-1F8C769B21C9}"/>
            </c:ext>
          </c:extLst>
        </c:ser>
        <c:ser>
          <c:idx val="2"/>
          <c:order val="2"/>
          <c:tx>
            <c:strRef>
              <c:f>計算シート!$C$10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>
                    <a:defRPr lang="ja-JP" altLang="en-US" sz="1000" b="0" i="0" u="none" strike="noStrike" kern="1200" baseline="0">
                      <a:solidFill>
                        <a:schemeClr val="tx1"/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31939823626551"/>
                      <c:h val="0.159030157792483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48D-420A-870A-1F8C769B21C9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>
                    <a:defRPr lang="ja-JP" altLang="en-US" sz="1000" b="0" i="0" u="none" strike="noStrike" kern="1200" baseline="0">
                      <a:solidFill>
                        <a:schemeClr val="tx1"/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855629027828024"/>
                      <c:h val="0.191291398304645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計算シート!$D$10:$F$10</c15:sqref>
                  </c15:fullRef>
                </c:ext>
              </c:extLst>
              <c:f>計算シート!$E$10:$F$10</c:f>
              <c:numCache>
                <c:formatCode>0.0</c:formatCode>
                <c:ptCount val="2"/>
                <c:pt idx="0">
                  <c:v>7</c:v>
                </c:pt>
                <c:pt idx="1" formatCode="#,##0.0;[Red]\-#,##0.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8D-420A-870A-1F8C769B21C9}"/>
            </c:ext>
          </c:extLst>
        </c:ser>
        <c:ser>
          <c:idx val="3"/>
          <c:order val="3"/>
          <c:tx>
            <c:strRef>
              <c:f>計算シート!$C$11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347120622192569"/>
                      <c:h val="0.11263631355685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8D-420A-870A-1F8C769B21C9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52328630269874"/>
                      <c:h val="9.99806010172092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計算シート!$D$11:$F$11</c15:sqref>
                  </c15:fullRef>
                </c:ext>
              </c:extLst>
              <c:f>計算シート!$E$11:$F$11</c:f>
              <c:numCache>
                <c:formatCode>0.0</c:formatCode>
                <c:ptCount val="2"/>
                <c:pt idx="0">
                  <c:v>6</c:v>
                </c:pt>
                <c:pt idx="1" formatCode="#,##0.0;[Red]\-#,##0.0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計算シート!$D$11</c15:sqref>
                  <c15:dLbl>
                    <c:idx val="-1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37D1-4962-9AD0-166E49C0A0B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548D-420A-870A-1F8C769B21C9}"/>
            </c:ext>
          </c:extLst>
        </c:ser>
        <c:ser>
          <c:idx val="4"/>
          <c:order val="4"/>
          <c:tx>
            <c:strRef>
              <c:f>計算シート!$C$12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3126427925109082E-3"/>
                  <c:y val="0"/>
                </c:manualLayout>
              </c:layout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003442018448031"/>
                      <c:h val="0.168321682056874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48D-420A-870A-1F8C769B21C9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09420712677278"/>
                      <c:h val="0.1176986197841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計算シート!$D$12:$F$12</c15:sqref>
                  </c15:fullRef>
                </c:ext>
              </c:extLst>
              <c:f>計算シート!$E$12:$F$12</c:f>
              <c:numCache>
                <c:formatCode>0.0</c:formatCode>
                <c:ptCount val="2"/>
                <c:pt idx="0">
                  <c:v>4</c:v>
                </c:pt>
                <c:pt idx="1" formatCode="#,##0.0;[Red]\-#,##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8D-420A-870A-1F8C769B21C9}"/>
            </c:ext>
          </c:extLst>
        </c:ser>
        <c:ser>
          <c:idx val="5"/>
          <c:order val="5"/>
          <c:tx>
            <c:strRef>
              <c:f>計算シート!$C$13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615444688385951"/>
                      <c:h val="0.192367636636428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48D-420A-870A-1F8C769B21C9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627859012879397"/>
                      <c:h val="0.179711871068242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計算シート!$D$13:$F$13</c15:sqref>
                  </c15:fullRef>
                </c:ext>
              </c:extLst>
              <c:f>計算シート!$E$13:$F$13</c:f>
              <c:numCache>
                <c:formatCode>0.0</c:formatCode>
                <c:ptCount val="2"/>
                <c:pt idx="0">
                  <c:v>19</c:v>
                </c:pt>
                <c:pt idx="1" formatCode="#,##0.0;[Red]\-#,##0.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8D-420A-870A-1F8C769B21C9}"/>
            </c:ext>
          </c:extLst>
        </c:ser>
        <c:ser>
          <c:idx val="6"/>
          <c:order val="6"/>
          <c:tx>
            <c:strRef>
              <c:f>計算シート!$C$14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計算シート!$D$14:$F$14</c15:sqref>
                  </c15:fullRef>
                </c:ext>
              </c:extLst>
              <c:f>計算シート!$E$14:$F$14</c:f>
              <c:numCache>
                <c:formatCode>0.0</c:formatCode>
                <c:ptCount val="2"/>
                <c:pt idx="0">
                  <c:v>25</c:v>
                </c:pt>
                <c:pt idx="1" formatCode="#,##0.0;[Red]\-#,##0.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8D-420A-870A-1F8C769B21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4592"/>
        <c:axId val="662328632"/>
        <c:axId val="0"/>
      </c:bar3DChart>
      <c:catAx>
        <c:axId val="51377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662328632"/>
        <c:crosses val="autoZero"/>
        <c:auto val="1"/>
        <c:lblAlgn val="ctr"/>
        <c:lblOffset val="100"/>
        <c:noMultiLvlLbl val="0"/>
      </c:catAx>
      <c:valAx>
        <c:axId val="66232863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513774592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52862221336257"/>
          <c:y val="6.8791666666666654E-2"/>
          <c:w val="0.61380135563862603"/>
          <c:h val="0.787471388888888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計算シート!$I$4</c:f>
              <c:strCache>
                <c:ptCount val="1"/>
                <c:pt idx="0">
                  <c:v>年金</c:v>
                </c:pt>
              </c:strCache>
            </c:strRef>
          </c:tx>
          <c:spPr>
            <a:solidFill>
              <a:srgbClr val="FF9B93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7A-4454-85BD-071B2DC807FA}"/>
                </c:ext>
              </c:extLst>
            </c:dLbl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計算シート!$J$4:$K$4</c:f>
              <c:numCache>
                <c:formatCode>0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A-4454-85BD-071B2DC807FA}"/>
            </c:ext>
          </c:extLst>
        </c:ser>
        <c:ser>
          <c:idx val="1"/>
          <c:order val="1"/>
          <c:tx>
            <c:strRef>
              <c:f>計算シート!$I$5</c:f>
              <c:strCache>
                <c:ptCount val="1"/>
                <c:pt idx="0">
                  <c:v>医療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計算シート!$J$5:$K$5</c:f>
              <c:numCache>
                <c:formatCode>0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A-4454-85BD-071B2DC807FA}"/>
            </c:ext>
          </c:extLst>
        </c:ser>
        <c:ser>
          <c:idx val="2"/>
          <c:order val="2"/>
          <c:tx>
            <c:strRef>
              <c:f>計算シート!$I$6</c:f>
              <c:strCache>
                <c:ptCount val="1"/>
                <c:pt idx="0">
                  <c:v>介護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計算シート!$J$6:$K$6</c:f>
              <c:numCache>
                <c:formatCode>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A-4454-85BD-071B2DC807FA}"/>
            </c:ext>
          </c:extLst>
        </c:ser>
        <c:ser>
          <c:idx val="3"/>
          <c:order val="3"/>
          <c:tx>
            <c:strRef>
              <c:f>計算シート!$I$7</c:f>
              <c:strCache>
                <c:ptCount val="1"/>
                <c:pt idx="0">
                  <c:v>子ども・子育て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342339536731779E-7"/>
                  <c:y val="-6.7042021393689142E-3"/>
                </c:manualLayout>
              </c:layout>
              <c:tx>
                <c:rich>
                  <a:bodyPr/>
                  <a:lstStyle/>
                  <a:p>
                    <a:fld id="{57B3C945-9277-4AE2-B84A-F1EC56BE3D5B}" type="SERIESNAME">
                      <a:rPr lang="ja-JP" altLang="en-US" sz="700" baseline="0"/>
                      <a:pPr/>
                      <a:t>[系列名]</a:t>
                    </a:fld>
                    <a:r>
                      <a:rPr lang="ja-JP" altLang="en-US" sz="700" baseline="0"/>
                      <a:t> </a:t>
                    </a:r>
                    <a:fld id="{AD0157DB-1558-4DD7-BC26-C96637F798E1}" type="VALUE">
                      <a:rPr lang="ja-JP" altLang="en-US" sz="700" baseline="0"/>
                      <a:pPr/>
                      <a:t>[値]</a:t>
                    </a:fld>
                    <a:endParaRPr lang="ja-JP" altLang="en-US" sz="7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5780590717299"/>
                      <c:h val="6.94972222222222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97A-4454-85BD-071B2DC807FA}"/>
                </c:ext>
              </c:extLst>
            </c:dLbl>
            <c:dLbl>
              <c:idx val="1"/>
              <c:layout>
                <c:manualLayout>
                  <c:x val="1.2325559438654583E-7"/>
                  <c:y val="-2.82528673339945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aseline="0">
                        <a:solidFill>
                          <a:schemeClr val="tx1"/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</a:defRPr>
                    </a:pPr>
                    <a:fld id="{DF26E28D-4556-46F7-AF3A-B098DF91014D}" type="SERIESNAME">
                      <a:rPr lang="ja-JP" altLang="en-US" sz="70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>
                        <a:defRPr sz="800" baseline="0">
                          <a:solidFill>
                            <a:schemeClr val="tx1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</a:defRPr>
                      </a:pPr>
                      <a:t>[系列名]</a:t>
                    </a:fld>
                    <a:r>
                      <a:rPr lang="ja-JP" altLang="en-US" sz="700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 </a:t>
                    </a:r>
                    <a:fld id="{D22F5D96-BA01-4583-AF80-DC4452E25803}" type="VALUE">
                      <a:rPr lang="ja-JP" altLang="en-US" sz="700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>
                        <a:defRPr sz="800" baseline="0">
                          <a:solidFill>
                            <a:schemeClr val="tx1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</a:defRPr>
                      </a:pPr>
                      <a:t>[値]</a:t>
                    </a:fld>
                    <a:endParaRPr lang="ja-JP" altLang="en-US" sz="700" baseline="0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</c:rich>
              </c:tx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81012658227849"/>
                      <c:h val="6.94972222222222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7A-4454-85BD-071B2DC807FA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計算シート!$J$7:$K$7</c:f>
              <c:numCache>
                <c:formatCode>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7A-4454-85BD-071B2DC807FA}"/>
            </c:ext>
          </c:extLst>
        </c:ser>
        <c:ser>
          <c:idx val="4"/>
          <c:order val="4"/>
          <c:tx>
            <c:strRef>
              <c:f>計算シート!$I$8</c:f>
              <c:strCache>
                <c:ptCount val="1"/>
                <c:pt idx="0">
                  <c:v>生活保護ほか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409619507515017E-3"/>
                  <c:y val="4.0706865628077071E-3"/>
                </c:manualLayout>
              </c:layout>
              <c:tx>
                <c:rich>
                  <a:bodyPr/>
                  <a:lstStyle/>
                  <a:p>
                    <a:fld id="{97CA2D50-AED1-4896-A918-801C56A4B368}" type="SERIESNAME">
                      <a:rPr lang="ja-JP" altLang="en-US" sz="1000"/>
                      <a:pPr/>
                      <a:t>[系列名]</a:t>
                    </a:fld>
                    <a:r>
                      <a:rPr lang="ja-JP" altLang="en-US" sz="1000" baseline="0"/>
                      <a:t>
</a:t>
                    </a:r>
                    <a:fld id="{A7D90D55-282B-4B78-9D10-3D6714DFCB53}" type="VALUE">
                      <a:rPr lang="ja-JP" altLang="en-US" sz="1000" baseline="0"/>
                      <a:pPr/>
                      <a:t>[値]</a:t>
                    </a:fld>
                    <a:endParaRPr lang="ja-JP" altLang="en-US" sz="10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596413592143282"/>
                      <c:h val="0.146184242011662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7A-4454-85BD-071B2DC807FA}"/>
                </c:ext>
              </c:extLst>
            </c:dLbl>
            <c:dLbl>
              <c:idx val="1"/>
              <c:layout>
                <c:manualLayout>
                  <c:x val="6.2615074504309143E-3"/>
                  <c:y val="5.6507959390799702E-3"/>
                </c:manualLayout>
              </c:layout>
              <c:tx>
                <c:rich>
                  <a:bodyPr/>
                  <a:lstStyle/>
                  <a:p>
                    <a:fld id="{53B1AFFD-BE08-4E4F-A353-EB0392B88C93}" type="SERIESNAME">
                      <a:rPr lang="ja-JP" altLang="en-US" sz="1000"/>
                      <a:pPr/>
                      <a:t>[系列名]</a:t>
                    </a:fld>
                    <a:r>
                      <a:rPr lang="ja-JP" altLang="en-US" sz="1000" baseline="0"/>
                      <a:t>
</a:t>
                    </a:r>
                    <a:fld id="{B4A30458-F0BB-45FF-9178-4A1D00BA065D}" type="VALUE">
                      <a:rPr lang="ja-JP" altLang="en-US" sz="1000" baseline="0"/>
                      <a:pPr/>
                      <a:t>[値]</a:t>
                    </a:fld>
                    <a:endParaRPr lang="ja-JP" altLang="en-US" sz="10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027929620075623"/>
                      <c:h val="0.146184190332340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97A-4454-85BD-071B2DC807FA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計算シート!$J$8:$K$8</c:f>
              <c:numCache>
                <c:formatCode>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7A-4454-85BD-071B2DC807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0"/>
        <c:shape val="cylinder"/>
        <c:axId val="662327848"/>
        <c:axId val="662327064"/>
        <c:axId val="0"/>
      </c:bar3DChart>
      <c:catAx>
        <c:axId val="662327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 b="1" i="0" baseline="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662327064"/>
        <c:crosses val="autoZero"/>
        <c:auto val="1"/>
        <c:lblAlgn val="ctr"/>
        <c:lblOffset val="100"/>
        <c:noMultiLvlLbl val="0"/>
      </c:catAx>
      <c:valAx>
        <c:axId val="66232706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662327848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計算シート!$C$17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9B93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計算シート!$D$17:$F$17</c15:sqref>
                  </c15:fullRef>
                </c:ext>
              </c:extLst>
              <c:f>計算シート!$E$17:$F$17</c:f>
              <c:numCache>
                <c:formatCode>0.0</c:formatCode>
                <c:ptCount val="2"/>
                <c:pt idx="0">
                  <c:v>21</c:v>
                </c:pt>
                <c:pt idx="1" formatCode="#,##0.0;[Red]\-#,##0.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5-49DB-BDA1-AF5D0CAEEB6F}"/>
            </c:ext>
          </c:extLst>
        </c:ser>
        <c:ser>
          <c:idx val="1"/>
          <c:order val="1"/>
          <c:tx>
            <c:strRef>
              <c:f>計算シート!$C$18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計算シート!$D$18:$F$18</c15:sqref>
                  </c15:fullRef>
                </c:ext>
              </c:extLst>
              <c:f>計算シート!$E$18:$F$18</c:f>
              <c:numCache>
                <c:formatCode>0.0</c:formatCode>
                <c:ptCount val="2"/>
                <c:pt idx="0">
                  <c:v>23</c:v>
                </c:pt>
                <c:pt idx="1" formatCode="#,##0.0;[Red]\-#,##0.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5-49DB-BDA1-AF5D0CAEEB6F}"/>
            </c:ext>
          </c:extLst>
        </c:ser>
        <c:ser>
          <c:idx val="2"/>
          <c:order val="2"/>
          <c:tx>
            <c:strRef>
              <c:f>計算シート!$C$19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879937766302807"/>
                      <c:h val="9.00391853560086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35-49DB-BDA1-AF5D0CAEEB6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13903782973183"/>
                      <c:h val="8.99080466265449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計算シート!$D$19:$F$19</c15:sqref>
                  </c15:fullRef>
                </c:ext>
              </c:extLst>
              <c:f>計算シート!$E$19:$F$19</c:f>
              <c:numCache>
                <c:formatCode>0.0</c:formatCode>
                <c:ptCount val="2"/>
                <c:pt idx="0">
                  <c:v>15</c:v>
                </c:pt>
                <c:pt idx="1" formatCode="#,##0.0;[Red]\-#,##0.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5-49DB-BDA1-AF5D0CAEEB6F}"/>
            </c:ext>
          </c:extLst>
        </c:ser>
        <c:ser>
          <c:idx val="3"/>
          <c:order val="3"/>
          <c:tx>
            <c:strRef>
              <c:f>計算シート!$C$20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207385208132875"/>
                      <c:h val="0.2247550711237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35-49DB-BDA1-AF5D0CAEEB6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391576177025789"/>
                      <c:h val="6.97178162071688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ln w="25400">
                <a:noFill/>
              </a:ln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計算シート!$D$20:$F$20</c15:sqref>
                  </c15:fullRef>
                </c:ext>
              </c:extLst>
              <c:f>計算シート!$E$20:$F$20</c:f>
              <c:numCache>
                <c:formatCode>0.0</c:formatCode>
                <c:ptCount val="2"/>
                <c:pt idx="0">
                  <c:v>10</c:v>
                </c:pt>
                <c:pt idx="1" formatCode="#,##0.0;[Red]\-#,##0.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35-49DB-BDA1-AF5D0CAEEB6F}"/>
            </c:ext>
          </c:extLst>
        </c:ser>
        <c:ser>
          <c:idx val="4"/>
          <c:order val="4"/>
          <c:tx>
            <c:strRef>
              <c:f>計算シート!$C$21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2901673736640494E-3"/>
                  <c:y val="2.505817640403724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539404028926529"/>
                      <c:h val="0.156840112655247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9D35-49DB-BDA1-AF5D0CAEEB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9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148395875010946"/>
                      <c:h val="0.1170244461255126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計算シート!$D$21:$F$21</c15:sqref>
                  </c15:fullRef>
                </c:ext>
              </c:extLst>
              <c:f>計算シート!$E$21:$F$21</c:f>
              <c:numCache>
                <c:formatCode>0.0</c:formatCode>
                <c:ptCount val="2"/>
                <c:pt idx="0">
                  <c:v>9</c:v>
                </c:pt>
                <c:pt idx="1" formatCode="#,##0.0;[Red]\-#,##0.0">
                  <c:v>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計算シート!$D$21</c15:sqref>
                  <c15:dLbl>
                    <c:idx val="-1"/>
                    <c:tx>
                      <c:rich>
                        <a:bodyPr/>
                        <a:lstStyle/>
                        <a:p>
                          <a:r>
                            <a:rPr lang="ja-JP" altLang="en-US"/>
                            <a:t>税以外 </a:t>
                          </a:r>
                          <a:r>
                            <a:rPr lang="en-US" altLang="ja-JP"/>
                            <a:t>7</a:t>
                          </a:r>
                          <a:r>
                            <a:rPr lang="ja-JP" altLang="en-US"/>
                            <a:t>兆円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separator> </c:separator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777C-41BC-9763-6A4726DAA35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D35-49DB-BDA1-AF5D0CAEEB6F}"/>
            </c:ext>
          </c:extLst>
        </c:ser>
        <c:ser>
          <c:idx val="5"/>
          <c:order val="5"/>
          <c:tx>
            <c:strRef>
              <c:f>計算シート!$C$22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2901673736640646E-3"/>
                  <c:y val="7.517452921211174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53472888243637"/>
                      <c:h val="0.256846308141381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D35-49DB-BDA1-AF5D0CAEEB6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13012223360397"/>
                      <c:h val="0.23674965066534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5年度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計算シート!$D$22:$F$22</c15:sqref>
                  </c15:fullRef>
                </c:ext>
              </c:extLst>
              <c:f>計算シート!$E$22:$F$22</c:f>
              <c:numCache>
                <c:formatCode>#,##0.0_ ;[Red]\-#,##0.0\ </c:formatCode>
                <c:ptCount val="2"/>
                <c:pt idx="0">
                  <c:v>36</c:v>
                </c:pt>
                <c:pt idx="1">
                  <c:v>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計算シート!$D$22</c15:sqref>
                  <c15:dLbl>
                    <c:idx val="-1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777C-41BC-9763-6A4726DAA35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9D35-49DB-BDA1-AF5D0CAEEB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662329808"/>
        <c:axId val="662329024"/>
        <c:axId val="0"/>
      </c:bar3DChart>
      <c:catAx>
        <c:axId val="662329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662329024"/>
        <c:crosses val="autoZero"/>
        <c:auto val="1"/>
        <c:lblAlgn val="ctr"/>
        <c:lblOffset val="100"/>
        <c:noMultiLvlLbl val="0"/>
      </c:catAx>
      <c:valAx>
        <c:axId val="66232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23298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543031</xdr:colOff>
      <xdr:row>8</xdr:row>
      <xdr:rowOff>23810</xdr:rowOff>
    </xdr:from>
    <xdr:to>
      <xdr:col>12</xdr:col>
      <xdr:colOff>501756</xdr:colOff>
      <xdr:row>10</xdr:row>
      <xdr:rowOff>3173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82441" y="2132153"/>
          <a:ext cx="2238304" cy="749924"/>
        </a:xfrm>
        <a:prstGeom prst="flowChartAlternateProcess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10</xdr:row>
      <xdr:rowOff>293708</xdr:rowOff>
    </xdr:from>
    <xdr:to>
      <xdr:col>5</xdr:col>
      <xdr:colOff>684944</xdr:colOff>
      <xdr:row>23</xdr:row>
      <xdr:rowOff>417388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663008</xdr:colOff>
      <xdr:row>13</xdr:row>
      <xdr:rowOff>61101</xdr:rowOff>
    </xdr:from>
    <xdr:to>
      <xdr:col>9</xdr:col>
      <xdr:colOff>139129</xdr:colOff>
      <xdr:row>23</xdr:row>
      <xdr:rowOff>192640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038907" y="4095848"/>
          <a:ext cx="3339632" cy="3802410"/>
        </a:xfrm>
        <a:custGeom>
          <a:avLst/>
          <a:gdLst>
            <a:gd name="connsiteX0" fmla="*/ 0 w 2190750"/>
            <a:gd name="connsiteY0" fmla="*/ 365132 h 2935432"/>
            <a:gd name="connsiteX1" fmla="*/ 365132 w 2190750"/>
            <a:gd name="connsiteY1" fmla="*/ 0 h 2935432"/>
            <a:gd name="connsiteX2" fmla="*/ 365125 w 2190750"/>
            <a:gd name="connsiteY2" fmla="*/ 0 h 2935432"/>
            <a:gd name="connsiteX3" fmla="*/ 365125 w 2190750"/>
            <a:gd name="connsiteY3" fmla="*/ 0 h 2935432"/>
            <a:gd name="connsiteX4" fmla="*/ 912813 w 2190750"/>
            <a:gd name="connsiteY4" fmla="*/ 0 h 2935432"/>
            <a:gd name="connsiteX5" fmla="*/ 1825618 w 2190750"/>
            <a:gd name="connsiteY5" fmla="*/ 0 h 2935432"/>
            <a:gd name="connsiteX6" fmla="*/ 2190750 w 2190750"/>
            <a:gd name="connsiteY6" fmla="*/ 365132 h 2935432"/>
            <a:gd name="connsiteX7" fmla="*/ 2190750 w 2190750"/>
            <a:gd name="connsiteY7" fmla="*/ 1712335 h 2935432"/>
            <a:gd name="connsiteX8" fmla="*/ 2190750 w 2190750"/>
            <a:gd name="connsiteY8" fmla="*/ 1712335 h 2935432"/>
            <a:gd name="connsiteX9" fmla="*/ 2190750 w 2190750"/>
            <a:gd name="connsiteY9" fmla="*/ 2446193 h 2935432"/>
            <a:gd name="connsiteX10" fmla="*/ 2190750 w 2190750"/>
            <a:gd name="connsiteY10" fmla="*/ 2570300 h 2935432"/>
            <a:gd name="connsiteX11" fmla="*/ 1825618 w 2190750"/>
            <a:gd name="connsiteY11" fmla="*/ 2935432 h 2935432"/>
            <a:gd name="connsiteX12" fmla="*/ 912813 w 2190750"/>
            <a:gd name="connsiteY12" fmla="*/ 2935432 h 2935432"/>
            <a:gd name="connsiteX13" fmla="*/ 365125 w 2190750"/>
            <a:gd name="connsiteY13" fmla="*/ 2935432 h 2935432"/>
            <a:gd name="connsiteX14" fmla="*/ 365125 w 2190750"/>
            <a:gd name="connsiteY14" fmla="*/ 2935432 h 2935432"/>
            <a:gd name="connsiteX15" fmla="*/ 365132 w 2190750"/>
            <a:gd name="connsiteY15" fmla="*/ 2935432 h 2935432"/>
            <a:gd name="connsiteX16" fmla="*/ 0 w 2190750"/>
            <a:gd name="connsiteY16" fmla="*/ 2570300 h 2935432"/>
            <a:gd name="connsiteX17" fmla="*/ 0 w 2190750"/>
            <a:gd name="connsiteY17" fmla="*/ 2446193 h 2935432"/>
            <a:gd name="connsiteX18" fmla="*/ -443408 w 2190750"/>
            <a:gd name="connsiteY18" fmla="*/ 2730774 h 2935432"/>
            <a:gd name="connsiteX19" fmla="*/ 0 w 2190750"/>
            <a:gd name="connsiteY19" fmla="*/ 1712335 h 2935432"/>
            <a:gd name="connsiteX20" fmla="*/ 0 w 2190750"/>
            <a:gd name="connsiteY20" fmla="*/ 365132 h 2935432"/>
            <a:gd name="connsiteX0" fmla="*/ 486704 w 2677454"/>
            <a:gd name="connsiteY0" fmla="*/ 365132 h 2935432"/>
            <a:gd name="connsiteX1" fmla="*/ 851836 w 2677454"/>
            <a:gd name="connsiteY1" fmla="*/ 0 h 2935432"/>
            <a:gd name="connsiteX2" fmla="*/ 851829 w 2677454"/>
            <a:gd name="connsiteY2" fmla="*/ 0 h 2935432"/>
            <a:gd name="connsiteX3" fmla="*/ 851829 w 2677454"/>
            <a:gd name="connsiteY3" fmla="*/ 0 h 2935432"/>
            <a:gd name="connsiteX4" fmla="*/ 1399517 w 2677454"/>
            <a:gd name="connsiteY4" fmla="*/ 0 h 2935432"/>
            <a:gd name="connsiteX5" fmla="*/ 2312322 w 2677454"/>
            <a:gd name="connsiteY5" fmla="*/ 0 h 2935432"/>
            <a:gd name="connsiteX6" fmla="*/ 2677454 w 2677454"/>
            <a:gd name="connsiteY6" fmla="*/ 365132 h 2935432"/>
            <a:gd name="connsiteX7" fmla="*/ 2677454 w 2677454"/>
            <a:gd name="connsiteY7" fmla="*/ 1712335 h 2935432"/>
            <a:gd name="connsiteX8" fmla="*/ 2677454 w 2677454"/>
            <a:gd name="connsiteY8" fmla="*/ 1712335 h 2935432"/>
            <a:gd name="connsiteX9" fmla="*/ 2677454 w 2677454"/>
            <a:gd name="connsiteY9" fmla="*/ 2446193 h 2935432"/>
            <a:gd name="connsiteX10" fmla="*/ 2677454 w 2677454"/>
            <a:gd name="connsiteY10" fmla="*/ 2570300 h 2935432"/>
            <a:gd name="connsiteX11" fmla="*/ 2312322 w 2677454"/>
            <a:gd name="connsiteY11" fmla="*/ 2935432 h 2935432"/>
            <a:gd name="connsiteX12" fmla="*/ 1399517 w 2677454"/>
            <a:gd name="connsiteY12" fmla="*/ 2935432 h 2935432"/>
            <a:gd name="connsiteX13" fmla="*/ 851829 w 2677454"/>
            <a:gd name="connsiteY13" fmla="*/ 2935432 h 2935432"/>
            <a:gd name="connsiteX14" fmla="*/ 851829 w 2677454"/>
            <a:gd name="connsiteY14" fmla="*/ 2935432 h 2935432"/>
            <a:gd name="connsiteX15" fmla="*/ 851836 w 2677454"/>
            <a:gd name="connsiteY15" fmla="*/ 2935432 h 2935432"/>
            <a:gd name="connsiteX16" fmla="*/ 486704 w 2677454"/>
            <a:gd name="connsiteY16" fmla="*/ 2570300 h 2935432"/>
            <a:gd name="connsiteX17" fmla="*/ 486704 w 2677454"/>
            <a:gd name="connsiteY17" fmla="*/ 2446193 h 2935432"/>
            <a:gd name="connsiteX18" fmla="*/ 0 w 2677454"/>
            <a:gd name="connsiteY18" fmla="*/ 2419046 h 2935432"/>
            <a:gd name="connsiteX19" fmla="*/ 486704 w 2677454"/>
            <a:gd name="connsiteY19" fmla="*/ 1712335 h 2935432"/>
            <a:gd name="connsiteX20" fmla="*/ 486704 w 2677454"/>
            <a:gd name="connsiteY20" fmla="*/ 365132 h 2935432"/>
            <a:gd name="connsiteX0" fmla="*/ 486704 w 2677454"/>
            <a:gd name="connsiteY0" fmla="*/ 365132 h 2935432"/>
            <a:gd name="connsiteX1" fmla="*/ 851836 w 2677454"/>
            <a:gd name="connsiteY1" fmla="*/ 0 h 2935432"/>
            <a:gd name="connsiteX2" fmla="*/ 851829 w 2677454"/>
            <a:gd name="connsiteY2" fmla="*/ 0 h 2935432"/>
            <a:gd name="connsiteX3" fmla="*/ 851829 w 2677454"/>
            <a:gd name="connsiteY3" fmla="*/ 0 h 2935432"/>
            <a:gd name="connsiteX4" fmla="*/ 1399517 w 2677454"/>
            <a:gd name="connsiteY4" fmla="*/ 0 h 2935432"/>
            <a:gd name="connsiteX5" fmla="*/ 2312322 w 2677454"/>
            <a:gd name="connsiteY5" fmla="*/ 0 h 2935432"/>
            <a:gd name="connsiteX6" fmla="*/ 2677454 w 2677454"/>
            <a:gd name="connsiteY6" fmla="*/ 365132 h 2935432"/>
            <a:gd name="connsiteX7" fmla="*/ 2677454 w 2677454"/>
            <a:gd name="connsiteY7" fmla="*/ 1712335 h 2935432"/>
            <a:gd name="connsiteX8" fmla="*/ 2677454 w 2677454"/>
            <a:gd name="connsiteY8" fmla="*/ 1712335 h 2935432"/>
            <a:gd name="connsiteX9" fmla="*/ 2677454 w 2677454"/>
            <a:gd name="connsiteY9" fmla="*/ 2446193 h 2935432"/>
            <a:gd name="connsiteX10" fmla="*/ 2677454 w 2677454"/>
            <a:gd name="connsiteY10" fmla="*/ 2570300 h 2935432"/>
            <a:gd name="connsiteX11" fmla="*/ 2312322 w 2677454"/>
            <a:gd name="connsiteY11" fmla="*/ 2935432 h 2935432"/>
            <a:gd name="connsiteX12" fmla="*/ 1399517 w 2677454"/>
            <a:gd name="connsiteY12" fmla="*/ 2935432 h 2935432"/>
            <a:gd name="connsiteX13" fmla="*/ 851829 w 2677454"/>
            <a:gd name="connsiteY13" fmla="*/ 2935432 h 2935432"/>
            <a:gd name="connsiteX14" fmla="*/ 851829 w 2677454"/>
            <a:gd name="connsiteY14" fmla="*/ 2935432 h 2935432"/>
            <a:gd name="connsiteX15" fmla="*/ 851836 w 2677454"/>
            <a:gd name="connsiteY15" fmla="*/ 2935432 h 2935432"/>
            <a:gd name="connsiteX16" fmla="*/ 486704 w 2677454"/>
            <a:gd name="connsiteY16" fmla="*/ 2570300 h 2935432"/>
            <a:gd name="connsiteX17" fmla="*/ 486704 w 2677454"/>
            <a:gd name="connsiteY17" fmla="*/ 2446193 h 2935432"/>
            <a:gd name="connsiteX18" fmla="*/ 0 w 2677454"/>
            <a:gd name="connsiteY18" fmla="*/ 2419046 h 2935432"/>
            <a:gd name="connsiteX19" fmla="*/ 478045 w 2677454"/>
            <a:gd name="connsiteY19" fmla="*/ 2058699 h 2935432"/>
            <a:gd name="connsiteX20" fmla="*/ 486704 w 2677454"/>
            <a:gd name="connsiteY20" fmla="*/ 365132 h 29354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677454" h="2935432">
              <a:moveTo>
                <a:pt x="486704" y="365132"/>
              </a:moveTo>
              <a:cubicBezTo>
                <a:pt x="486704" y="163475"/>
                <a:pt x="650179" y="0"/>
                <a:pt x="851836" y="0"/>
              </a:cubicBezTo>
              <a:lnTo>
                <a:pt x="851829" y="0"/>
              </a:lnTo>
              <a:lnTo>
                <a:pt x="851829" y="0"/>
              </a:lnTo>
              <a:lnTo>
                <a:pt x="1399517" y="0"/>
              </a:lnTo>
              <a:lnTo>
                <a:pt x="2312322" y="0"/>
              </a:lnTo>
              <a:cubicBezTo>
                <a:pt x="2513979" y="0"/>
                <a:pt x="2677454" y="163475"/>
                <a:pt x="2677454" y="365132"/>
              </a:cubicBezTo>
              <a:lnTo>
                <a:pt x="2677454" y="1712335"/>
              </a:lnTo>
              <a:lnTo>
                <a:pt x="2677454" y="1712335"/>
              </a:lnTo>
              <a:lnTo>
                <a:pt x="2677454" y="2446193"/>
              </a:lnTo>
              <a:lnTo>
                <a:pt x="2677454" y="2570300"/>
              </a:lnTo>
              <a:cubicBezTo>
                <a:pt x="2677454" y="2771957"/>
                <a:pt x="2513979" y="2935432"/>
                <a:pt x="2312322" y="2935432"/>
              </a:cubicBezTo>
              <a:lnTo>
                <a:pt x="1399517" y="2935432"/>
              </a:lnTo>
              <a:lnTo>
                <a:pt x="851829" y="2935432"/>
              </a:lnTo>
              <a:lnTo>
                <a:pt x="851829" y="2935432"/>
              </a:lnTo>
              <a:lnTo>
                <a:pt x="851836" y="2935432"/>
              </a:lnTo>
              <a:cubicBezTo>
                <a:pt x="650179" y="2935432"/>
                <a:pt x="486704" y="2771957"/>
                <a:pt x="486704" y="2570300"/>
              </a:cubicBezTo>
              <a:lnTo>
                <a:pt x="486704" y="2446193"/>
              </a:lnTo>
              <a:lnTo>
                <a:pt x="0" y="2419046"/>
              </a:lnTo>
              <a:lnTo>
                <a:pt x="478045" y="2058699"/>
              </a:lnTo>
              <a:cubicBezTo>
                <a:pt x="480931" y="1494177"/>
                <a:pt x="483818" y="929654"/>
                <a:pt x="486704" y="365132"/>
              </a:cubicBezTo>
              <a:close/>
            </a:path>
          </a:pathLst>
        </a:custGeom>
        <a:solidFill>
          <a:srgbClr val="FFFFCC"/>
        </a:solidFill>
        <a:ln>
          <a:solidFill>
            <a:schemeClr val="bg1">
              <a:lumMod val="75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559231</xdr:colOff>
      <xdr:row>11</xdr:row>
      <xdr:rowOff>431267</xdr:rowOff>
    </xdr:from>
    <xdr:to>
      <xdr:col>10</xdr:col>
      <xdr:colOff>50336</xdr:colOff>
      <xdr:row>23</xdr:row>
      <xdr:rowOff>492303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</xdr:col>
      <xdr:colOff>619394</xdr:colOff>
      <xdr:row>11</xdr:row>
      <xdr:rowOff>149913</xdr:rowOff>
    </xdr:from>
    <xdr:to>
      <xdr:col>4</xdr:col>
      <xdr:colOff>5443</xdr:colOff>
      <xdr:row>11</xdr:row>
      <xdr:rowOff>446331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01805" y="3313574"/>
          <a:ext cx="780781" cy="296418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出</a:t>
          </a:r>
        </a:p>
      </xdr:txBody>
    </xdr:sp>
    <xdr:clientData/>
  </xdr:twoCellAnchor>
  <xdr:twoCellAnchor editAs="absolute">
    <xdr:from>
      <xdr:col>9</xdr:col>
      <xdr:colOff>7528</xdr:colOff>
      <xdr:row>10</xdr:row>
      <xdr:rowOff>292137</xdr:rowOff>
    </xdr:from>
    <xdr:to>
      <xdr:col>14</xdr:col>
      <xdr:colOff>142305</xdr:colOff>
      <xdr:row>23</xdr:row>
      <xdr:rowOff>460197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24395</xdr:colOff>
      <xdr:row>11</xdr:row>
      <xdr:rowOff>153948</xdr:rowOff>
    </xdr:from>
    <xdr:to>
      <xdr:col>12</xdr:col>
      <xdr:colOff>117104</xdr:colOff>
      <xdr:row>11</xdr:row>
      <xdr:rowOff>450367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134127" y="3317609"/>
          <a:ext cx="790075" cy="296419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入</a:t>
          </a:r>
        </a:p>
      </xdr:txBody>
    </xdr:sp>
    <xdr:clientData/>
  </xdr:twoCellAnchor>
  <xdr:twoCellAnchor>
    <xdr:from>
      <xdr:col>6</xdr:col>
      <xdr:colOff>475356</xdr:colOff>
      <xdr:row>12</xdr:row>
      <xdr:rowOff>352981</xdr:rowOff>
    </xdr:from>
    <xdr:to>
      <xdr:col>8</xdr:col>
      <xdr:colOff>222511</xdr:colOff>
      <xdr:row>13</xdr:row>
      <xdr:rowOff>214436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370974" y="4002447"/>
          <a:ext cx="1266874" cy="246736"/>
        </a:xfrm>
        <a:prstGeom prst="roundRect">
          <a:avLst/>
        </a:prstGeom>
        <a:solidFill>
          <a:srgbClr val="FFFFCC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0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社会保障の内訳</a:t>
          </a:r>
        </a:p>
      </xdr:txBody>
    </xdr:sp>
    <xdr:clientData/>
  </xdr:twoCellAnchor>
  <xdr:twoCellAnchor>
    <xdr:from>
      <xdr:col>0</xdr:col>
      <xdr:colOff>77932</xdr:colOff>
      <xdr:row>2</xdr:row>
      <xdr:rowOff>147202</xdr:rowOff>
    </xdr:from>
    <xdr:to>
      <xdr:col>2</xdr:col>
      <xdr:colOff>34636</xdr:colOff>
      <xdr:row>3</xdr:row>
      <xdr:rowOff>181839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7932" y="545520"/>
          <a:ext cx="813954" cy="294410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出</a:t>
          </a:r>
        </a:p>
      </xdr:txBody>
    </xdr:sp>
    <xdr:clientData/>
  </xdr:twoCellAnchor>
  <xdr:twoCellAnchor>
    <xdr:from>
      <xdr:col>0</xdr:col>
      <xdr:colOff>69274</xdr:colOff>
      <xdr:row>7</xdr:row>
      <xdr:rowOff>173181</xdr:rowOff>
    </xdr:from>
    <xdr:to>
      <xdr:col>2</xdr:col>
      <xdr:colOff>34636</xdr:colOff>
      <xdr:row>7</xdr:row>
      <xdr:rowOff>476250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274" y="1783772"/>
          <a:ext cx="822612" cy="303069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入</a:t>
          </a:r>
        </a:p>
      </xdr:txBody>
    </xdr:sp>
    <xdr:clientData/>
  </xdr:twoCellAnchor>
  <xdr:twoCellAnchor>
    <xdr:from>
      <xdr:col>6</xdr:col>
      <xdr:colOff>753340</xdr:colOff>
      <xdr:row>7</xdr:row>
      <xdr:rowOff>225136</xdr:rowOff>
    </xdr:from>
    <xdr:to>
      <xdr:col>9</xdr:col>
      <xdr:colOff>17317</xdr:colOff>
      <xdr:row>7</xdr:row>
      <xdr:rowOff>467592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658590" y="1835727"/>
          <a:ext cx="1549977" cy="24245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予 </a:t>
          </a:r>
          <a:r>
            <a:rPr kumimoji="1" lang="ja-JP" altLang="en-US" sz="1300" b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算</a:t>
          </a:r>
          <a:r>
            <a:rPr kumimoji="1" lang="ja-JP" altLang="en-US" sz="1300" b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総</a:t>
          </a:r>
          <a:r>
            <a:rPr kumimoji="1" lang="ja-JP" altLang="en-US" sz="1300" b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額</a:t>
          </a:r>
        </a:p>
      </xdr:txBody>
    </xdr:sp>
    <xdr:clientData/>
  </xdr:twoCellAnchor>
  <xdr:twoCellAnchor>
    <xdr:from>
      <xdr:col>10</xdr:col>
      <xdr:colOff>57150</xdr:colOff>
      <xdr:row>8</xdr:row>
      <xdr:rowOff>323850</xdr:rowOff>
    </xdr:from>
    <xdr:to>
      <xdr:col>12</xdr:col>
      <xdr:colOff>369150</xdr:colOff>
      <xdr:row>8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7010400" y="2419350"/>
          <a:ext cx="18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9</xdr:row>
      <xdr:rowOff>314325</xdr:rowOff>
    </xdr:from>
    <xdr:to>
      <xdr:col>12</xdr:col>
      <xdr:colOff>369150</xdr:colOff>
      <xdr:row>9</xdr:row>
      <xdr:rowOff>314325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7010400" y="2790825"/>
          <a:ext cx="18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95250</xdr:rowOff>
        </xdr:from>
        <xdr:to>
          <xdr:col>13</xdr:col>
          <xdr:colOff>312964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3:$N$3" spid="_x0000_s4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00" y="12668250"/>
              <a:ext cx="164646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31</xdr:row>
          <xdr:rowOff>314325</xdr:rowOff>
        </xdr:from>
        <xdr:to>
          <xdr:col>13</xdr:col>
          <xdr:colOff>428625</xdr:colOff>
          <xdr:row>32</xdr:row>
          <xdr:rowOff>314325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3:$P$3" spid="_x0000_s41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62625" y="12125325"/>
              <a:ext cx="1704975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180976</xdr:colOff>
      <xdr:row>2</xdr:row>
      <xdr:rowOff>161924</xdr:rowOff>
    </xdr:from>
    <xdr:to>
      <xdr:col>12</xdr:col>
      <xdr:colOff>485776</xdr:colOff>
      <xdr:row>33</xdr:row>
      <xdr:rowOff>95249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31" t="1003" r="52756" b="6424"/>
        <a:stretch/>
      </xdr:blipFill>
      <xdr:spPr>
        <a:xfrm>
          <a:off x="4981576" y="504824"/>
          <a:ext cx="3733800" cy="5248275"/>
        </a:xfrm>
        <a:prstGeom prst="rect">
          <a:avLst/>
        </a:prstGeom>
      </xdr:spPr>
    </xdr:pic>
    <xdr:clientData/>
  </xdr:twoCellAnchor>
  <xdr:twoCellAnchor>
    <xdr:from>
      <xdr:col>12</xdr:col>
      <xdr:colOff>657225</xdr:colOff>
      <xdr:row>5</xdr:row>
      <xdr:rowOff>66675</xdr:rowOff>
    </xdr:from>
    <xdr:to>
      <xdr:col>12</xdr:col>
      <xdr:colOff>676276</xdr:colOff>
      <xdr:row>32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886825" y="923925"/>
          <a:ext cx="19051" cy="4714875"/>
        </a:xfrm>
        <a:prstGeom prst="straightConnector1">
          <a:avLst/>
        </a:prstGeom>
        <a:ln w="444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666750</xdr:colOff>
      <xdr:row>15</xdr:row>
      <xdr:rowOff>66675</xdr:rowOff>
    </xdr:from>
    <xdr:ext cx="1344599" cy="102592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896350" y="2638425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歳出</a:t>
          </a:r>
          <a:endParaRPr kumimoji="1" lang="en-US" altLang="ja-JP" sz="2800">
            <a:solidFill>
              <a:schemeClr val="accent6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97</a:t>
          </a:r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oneCellAnchor>
    <xdr:from>
      <xdr:col>0</xdr:col>
      <xdr:colOff>28575</xdr:colOff>
      <xdr:row>18</xdr:row>
      <xdr:rowOff>38100</xdr:rowOff>
    </xdr:from>
    <xdr:ext cx="1344599" cy="102592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8575" y="3124200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税収</a:t>
          </a:r>
          <a:r>
            <a:rPr kumimoji="1" lang="ja-JP" altLang="en-US" sz="1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等</a:t>
          </a:r>
          <a:endParaRPr kumimoji="1" lang="en-US" altLang="ja-JP" sz="2800">
            <a:solidFill>
              <a:schemeClr val="accent1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62</a:t>
          </a:r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twoCellAnchor editAs="oneCell">
    <xdr:from>
      <xdr:col>0</xdr:col>
      <xdr:colOff>0</xdr:colOff>
      <xdr:row>38</xdr:row>
      <xdr:rowOff>114300</xdr:rowOff>
    </xdr:from>
    <xdr:to>
      <xdr:col>6</xdr:col>
      <xdr:colOff>447675</xdr:colOff>
      <xdr:row>70</xdr:row>
      <xdr:rowOff>53810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373"/>
        <a:stretch/>
      </xdr:blipFill>
      <xdr:spPr>
        <a:xfrm>
          <a:off x="0" y="6629400"/>
          <a:ext cx="4562475" cy="542591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38</xdr:row>
      <xdr:rowOff>104775</xdr:rowOff>
    </xdr:from>
    <xdr:to>
      <xdr:col>11</xdr:col>
      <xdr:colOff>666750</xdr:colOff>
      <xdr:row>70</xdr:row>
      <xdr:rowOff>74768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1484"/>
        <a:stretch/>
      </xdr:blipFill>
      <xdr:spPr>
        <a:xfrm>
          <a:off x="3800475" y="6619875"/>
          <a:ext cx="4410075" cy="545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4"/>
  <sheetViews>
    <sheetView showGridLines="0" tabSelected="1" view="pageBreakPreview" zoomScale="112" zoomScaleNormal="89" zoomScaleSheetLayoutView="112" workbookViewId="0">
      <selection activeCell="N6" sqref="N6"/>
    </sheetView>
  </sheetViews>
  <sheetFormatPr defaultColWidth="9" defaultRowHeight="30" customHeight="1"/>
  <cols>
    <col min="1" max="1" width="1.26953125" style="47" customWidth="1"/>
    <col min="2" max="8" width="10" style="47" customWidth="1"/>
    <col min="9" max="9" width="10.7265625" style="47" customWidth="1"/>
    <col min="10" max="13" width="10" style="47" customWidth="1"/>
    <col min="14" max="16384" width="9" style="47"/>
  </cols>
  <sheetData>
    <row r="1" spans="1:32" ht="15.75" customHeight="1">
      <c r="A1" s="94" t="s">
        <v>44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2" ht="15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ht="20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95" t="s">
        <v>45</v>
      </c>
    </row>
    <row r="4" spans="1:32" ht="15" customHeight="1">
      <c r="A4" s="48"/>
      <c r="B4" s="48"/>
      <c r="C4" s="49"/>
      <c r="D4" s="50"/>
      <c r="E4" s="50"/>
      <c r="F4" s="48"/>
      <c r="G4" s="48"/>
      <c r="H4" s="48"/>
      <c r="I4" s="48"/>
      <c r="J4" s="48"/>
      <c r="K4" s="48"/>
      <c r="L4" s="41"/>
      <c r="M4" s="95"/>
    </row>
    <row r="5" spans="1:32" ht="15" customHeight="1">
      <c r="A5" s="48"/>
      <c r="B5" s="90" t="s">
        <v>92</v>
      </c>
      <c r="C5" s="92" t="s">
        <v>81</v>
      </c>
      <c r="D5" s="93"/>
      <c r="E5" s="93"/>
      <c r="F5" s="93"/>
      <c r="G5" s="93"/>
      <c r="H5" s="83" t="s">
        <v>100</v>
      </c>
      <c r="I5" s="81" t="s">
        <v>3</v>
      </c>
      <c r="J5" s="81" t="s">
        <v>1</v>
      </c>
      <c r="K5" s="81" t="s">
        <v>78</v>
      </c>
      <c r="L5" s="83" t="s">
        <v>79</v>
      </c>
      <c r="M5" s="83" t="s">
        <v>93</v>
      </c>
    </row>
    <row r="6" spans="1:32" ht="15" customHeight="1">
      <c r="A6" s="48"/>
      <c r="B6" s="91"/>
      <c r="C6" s="59" t="s">
        <v>75</v>
      </c>
      <c r="D6" s="60" t="s">
        <v>76</v>
      </c>
      <c r="E6" s="60" t="s">
        <v>77</v>
      </c>
      <c r="F6" s="61" t="s">
        <v>97</v>
      </c>
      <c r="G6" s="60" t="s">
        <v>70</v>
      </c>
      <c r="H6" s="84"/>
      <c r="I6" s="82"/>
      <c r="J6" s="82"/>
      <c r="K6" s="82"/>
      <c r="L6" s="84"/>
      <c r="M6" s="84"/>
    </row>
    <row r="7" spans="1:32" ht="30" customHeight="1">
      <c r="A7" s="48"/>
      <c r="B7" s="62">
        <f>ROUND((計算シート!G3-1)*100,0)</f>
        <v>0</v>
      </c>
      <c r="C7" s="42" t="s">
        <v>4</v>
      </c>
      <c r="D7" s="43" t="s">
        <v>4</v>
      </c>
      <c r="E7" s="43" t="s">
        <v>4</v>
      </c>
      <c r="F7" s="43" t="s">
        <v>4</v>
      </c>
      <c r="G7" s="43" t="s">
        <v>4</v>
      </c>
      <c r="H7" s="43" t="s">
        <v>4</v>
      </c>
      <c r="I7" s="43" t="s">
        <v>4</v>
      </c>
      <c r="J7" s="43" t="s">
        <v>4</v>
      </c>
      <c r="K7" s="43" t="s">
        <v>4</v>
      </c>
      <c r="L7" s="43" t="s">
        <v>4</v>
      </c>
      <c r="M7" s="63" t="s">
        <v>119</v>
      </c>
    </row>
    <row r="8" spans="1:32" ht="38.25" customHeight="1">
      <c r="A8" s="48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51"/>
    </row>
    <row r="9" spans="1:32" ht="30" customHeight="1">
      <c r="A9" s="48"/>
      <c r="B9" s="64" t="s">
        <v>72</v>
      </c>
      <c r="C9" s="64" t="s">
        <v>73</v>
      </c>
      <c r="D9" s="64" t="s">
        <v>74</v>
      </c>
      <c r="E9" s="65" t="s">
        <v>98</v>
      </c>
      <c r="F9" s="66" t="s">
        <v>94</v>
      </c>
      <c r="G9" s="67"/>
      <c r="H9" s="68" t="s">
        <v>117</v>
      </c>
      <c r="I9" s="69">
        <v>114</v>
      </c>
      <c r="J9" s="70"/>
      <c r="K9" s="71" t="s">
        <v>99</v>
      </c>
      <c r="L9" s="72"/>
      <c r="M9" s="73"/>
      <c r="N9"/>
    </row>
    <row r="10" spans="1:32" ht="30" customHeight="1">
      <c r="A10" s="48"/>
      <c r="B10" s="43" t="s">
        <v>4</v>
      </c>
      <c r="C10" s="43" t="s">
        <v>4</v>
      </c>
      <c r="D10" s="43" t="s">
        <v>4</v>
      </c>
      <c r="E10" s="45" t="s">
        <v>4</v>
      </c>
      <c r="F10" s="74" t="s">
        <v>120</v>
      </c>
      <c r="G10" s="67"/>
      <c r="H10" s="75" t="s">
        <v>95</v>
      </c>
      <c r="I10" s="76">
        <f>計算シート!F15</f>
        <v>114</v>
      </c>
      <c r="J10" s="86">
        <f>ROUND(計算シート!I15-計算シート!I23,0)</f>
        <v>11</v>
      </c>
      <c r="K10" s="87"/>
      <c r="L10" s="88" t="str">
        <f>IF(J10&gt;0,"増えます",IF(J10=0,"となります","減ります"))</f>
        <v>増えます</v>
      </c>
      <c r="M10" s="88"/>
      <c r="N10"/>
      <c r="O10"/>
    </row>
    <row r="11" spans="1:32" ht="24" customHeight="1">
      <c r="A11" s="48"/>
      <c r="B11" s="48"/>
      <c r="C11" s="48"/>
      <c r="D11" s="48"/>
      <c r="E11" s="48"/>
      <c r="F11" s="77"/>
      <c r="G11" s="77"/>
      <c r="H11" s="77"/>
      <c r="I11" s="77"/>
      <c r="J11" s="78" t="s">
        <v>118</v>
      </c>
      <c r="K11" s="77"/>
      <c r="L11" s="77"/>
      <c r="M11" s="77"/>
      <c r="N11"/>
      <c r="O11"/>
    </row>
    <row r="12" spans="1:32" ht="36.75" customHeight="1">
      <c r="A12" s="48"/>
      <c r="B12" s="48"/>
      <c r="C12" s="52"/>
      <c r="D12" s="53"/>
      <c r="E12" s="53"/>
      <c r="F12" s="79"/>
      <c r="G12" s="77"/>
      <c r="H12" s="77"/>
      <c r="I12" s="77"/>
      <c r="J12" s="77"/>
      <c r="K12" s="77"/>
      <c r="L12" s="77"/>
      <c r="M12" s="77"/>
      <c r="N12"/>
      <c r="O12"/>
    </row>
    <row r="13" spans="1:32" ht="30.75" customHeight="1">
      <c r="A13" s="48"/>
      <c r="B13" s="48"/>
      <c r="C13" s="48"/>
      <c r="D13" s="48"/>
      <c r="E13" s="48"/>
      <c r="F13" s="77"/>
      <c r="G13" s="77"/>
      <c r="H13" s="77"/>
      <c r="I13" s="77"/>
      <c r="J13" s="77"/>
      <c r="K13" s="77"/>
      <c r="L13" s="77"/>
      <c r="M13" s="77"/>
      <c r="N13"/>
      <c r="O13"/>
    </row>
    <row r="14" spans="1:32" ht="30.75" customHeight="1">
      <c r="A14" s="48"/>
      <c r="B14" s="48"/>
      <c r="C14" s="48"/>
      <c r="D14" s="48"/>
      <c r="E14" s="48"/>
      <c r="F14" s="77"/>
      <c r="G14" s="77"/>
      <c r="H14" s="77"/>
      <c r="I14" s="77"/>
      <c r="J14" s="77"/>
      <c r="K14" s="77"/>
      <c r="L14" s="77"/>
      <c r="M14" s="77"/>
      <c r="N14"/>
      <c r="O14"/>
    </row>
    <row r="15" spans="1:32" ht="30.75" customHeight="1">
      <c r="A15" s="48"/>
      <c r="B15" s="48"/>
      <c r="C15" s="48"/>
      <c r="D15" s="48"/>
      <c r="E15" s="48"/>
      <c r="F15" s="77"/>
      <c r="G15" s="77"/>
      <c r="H15" s="77"/>
      <c r="I15" s="77"/>
      <c r="J15" s="77"/>
      <c r="K15" s="77"/>
      <c r="L15" s="77"/>
      <c r="M15" s="77"/>
      <c r="N15"/>
      <c r="O15"/>
    </row>
    <row r="16" spans="1:32" ht="30.7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9" ht="30.75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9" ht="30.7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9" ht="30.75" customHeight="1">
      <c r="A19" s="48"/>
      <c r="B19" s="96"/>
      <c r="C19" s="96"/>
      <c r="D19" s="96"/>
      <c r="E19" s="96"/>
      <c r="F19" s="96"/>
      <c r="G19" s="85"/>
      <c r="H19" s="85"/>
      <c r="I19" s="85"/>
      <c r="J19" s="54"/>
      <c r="K19" s="48"/>
      <c r="L19" s="48"/>
      <c r="M19" s="48"/>
    </row>
    <row r="20" spans="1:19" ht="30.75" customHeight="1">
      <c r="A20" s="48"/>
      <c r="B20" s="89"/>
      <c r="C20" s="89"/>
      <c r="D20" s="89"/>
      <c r="E20" s="89"/>
      <c r="F20" s="89"/>
      <c r="G20" s="85"/>
      <c r="H20" s="85"/>
      <c r="I20" s="85"/>
      <c r="J20" s="54"/>
      <c r="K20" s="55"/>
      <c r="L20" s="55"/>
      <c r="M20" s="55"/>
      <c r="N20" s="56"/>
      <c r="O20" s="56"/>
      <c r="P20" s="56"/>
      <c r="Q20" s="80"/>
      <c r="R20" s="80"/>
      <c r="S20" s="80"/>
    </row>
    <row r="21" spans="1:19" ht="30.75" customHeight="1">
      <c r="A21" s="48"/>
      <c r="B21" s="48"/>
      <c r="C21" s="57"/>
      <c r="D21" s="58"/>
      <c r="E21" s="58"/>
      <c r="F21" s="58"/>
      <c r="G21" s="54"/>
      <c r="H21" s="54"/>
      <c r="I21" s="48"/>
      <c r="J21" s="48"/>
      <c r="K21" s="48"/>
      <c r="L21" s="48"/>
      <c r="M21" s="48"/>
    </row>
    <row r="22" spans="1:19" ht="30.7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9" ht="15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9" ht="53.25" customHeight="1"/>
  </sheetData>
  <sheetProtection sheet="1" objects="1" scenarios="1"/>
  <dataConsolidate/>
  <mergeCells count="17">
    <mergeCell ref="B20:F20"/>
    <mergeCell ref="B5:B6"/>
    <mergeCell ref="C5:G5"/>
    <mergeCell ref="A1:O2"/>
    <mergeCell ref="M3:M4"/>
    <mergeCell ref="H5:H6"/>
    <mergeCell ref="B19:F19"/>
    <mergeCell ref="Q20:S20"/>
    <mergeCell ref="I5:I6"/>
    <mergeCell ref="J5:J6"/>
    <mergeCell ref="K5:K6"/>
    <mergeCell ref="L5:L6"/>
    <mergeCell ref="M5:M6"/>
    <mergeCell ref="G20:I20"/>
    <mergeCell ref="J10:K10"/>
    <mergeCell ref="L10:M10"/>
    <mergeCell ref="G19:I19"/>
  </mergeCells>
  <phoneticPr fontId="1"/>
  <conditionalFormatting sqref="B7:B8">
    <cfRule type="expression" dxfId="7" priority="11">
      <formula>$B$7&gt;0</formula>
    </cfRule>
    <cfRule type="expression" dxfId="6" priority="12">
      <formula>$B$7&lt;0</formula>
    </cfRule>
  </conditionalFormatting>
  <conditionalFormatting sqref="C8:G8">
    <cfRule type="expression" dxfId="5" priority="5">
      <formula>$B$7&gt;0</formula>
    </cfRule>
    <cfRule type="expression" dxfId="4" priority="6">
      <formula>$B$7&lt;0</formula>
    </cfRule>
  </conditionalFormatting>
  <conditionalFormatting sqref="B9:J9 B10:I10 B7:M8">
    <cfRule type="containsText" dxfId="3" priority="39" operator="containsText" text="増">
      <formula>NOT(ISERROR(SEARCH("増",B7)))</formula>
    </cfRule>
    <cfRule type="containsText" dxfId="2" priority="40" operator="containsText" text="減">
      <formula>NOT(ISERROR(SEARCH("減",B7)))</formula>
    </cfRule>
  </conditionalFormatting>
  <conditionalFormatting sqref="L10:M10">
    <cfRule type="expression" dxfId="1" priority="1">
      <formula>$J$10&gt;0</formula>
    </cfRule>
    <cfRule type="expression" dxfId="0" priority="2">
      <formula>$J$10&lt;0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8" orientation="landscape" r:id="rId1"/>
  <colBreaks count="1" manualBreakCount="1">
    <brk id="6" max="2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計算シート!$U$4:$U$54</xm:f>
          </x14:formula1>
          <xm:sqref>M3</xm:sqref>
        </x14:dataValidation>
        <x14:dataValidation type="list" allowBlank="1" showInputMessage="1" showErrorMessage="1" xr:uid="{00000000-0002-0000-0000-000001000000}">
          <x14:formula1>
            <xm:f>計算シート!$S$4:$S$14</xm:f>
          </x14:formula1>
          <xm:sqref>B10:E10 C7:L7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F54"/>
  <sheetViews>
    <sheetView showGridLines="0" view="pageBreakPreview" zoomScale="80" zoomScaleNormal="100" zoomScaleSheetLayoutView="80" workbookViewId="0">
      <selection activeCell="I21" sqref="I21"/>
    </sheetView>
  </sheetViews>
  <sheetFormatPr defaultRowHeight="30" customHeight="1" outlineLevelCol="1"/>
  <cols>
    <col min="1" max="2" width="1.6328125" customWidth="1"/>
    <col min="3" max="3" width="17.26953125" customWidth="1"/>
    <col min="6" max="6" width="9.90625" style="4" customWidth="1"/>
    <col min="8" max="8" width="2.6328125" customWidth="1"/>
    <col min="9" max="11" width="8" customWidth="1"/>
    <col min="12" max="12" width="8" customWidth="1" outlineLevel="1"/>
    <col min="13" max="13" width="9.36328125" customWidth="1" outlineLevel="1"/>
    <col min="14" max="14" width="12.08984375" bestFit="1" customWidth="1" outlineLevel="1"/>
    <col min="15" max="15" width="10.26953125" customWidth="1" outlineLevel="1"/>
    <col min="16" max="17" width="12.08984375" customWidth="1" outlineLevel="1"/>
    <col min="18" max="18" width="11.81640625" customWidth="1" outlineLevel="1"/>
    <col min="19" max="19" width="11" customWidth="1"/>
  </cols>
  <sheetData>
    <row r="1" spans="3:32" ht="30" customHeight="1">
      <c r="D1" t="s">
        <v>112</v>
      </c>
    </row>
    <row r="2" spans="3:32" ht="30" customHeight="1">
      <c r="C2" s="7"/>
      <c r="D2" s="30" t="s">
        <v>113</v>
      </c>
      <c r="E2" s="30" t="s">
        <v>114</v>
      </c>
      <c r="F2" s="8" t="s">
        <v>96</v>
      </c>
      <c r="G2" s="9" t="s">
        <v>5</v>
      </c>
      <c r="I2" s="21" t="s">
        <v>71</v>
      </c>
      <c r="N2" s="5" t="s">
        <v>11</v>
      </c>
      <c r="O2" s="5"/>
      <c r="P2" s="5" t="s">
        <v>11</v>
      </c>
      <c r="Q2" s="5" t="s">
        <v>11</v>
      </c>
      <c r="R2" s="5" t="s">
        <v>11</v>
      </c>
    </row>
    <row r="3" spans="3:32" ht="30" customHeight="1">
      <c r="C3" s="2" t="s">
        <v>0</v>
      </c>
      <c r="D3" s="26">
        <f>ROUND(SUM(D4:D8),1)</f>
        <v>36.9</v>
      </c>
      <c r="E3" s="26">
        <f>ROUND(D3,0)</f>
        <v>37</v>
      </c>
      <c r="F3" s="27">
        <f>ROUND(SUM(F4:F8),0)</f>
        <v>37</v>
      </c>
      <c r="G3" s="3">
        <f>F3/E3</f>
        <v>1</v>
      </c>
      <c r="I3" s="20"/>
      <c r="J3" s="9" t="s">
        <v>115</v>
      </c>
      <c r="K3" s="8" t="s">
        <v>96</v>
      </c>
      <c r="M3" s="6" t="s">
        <v>115</v>
      </c>
      <c r="N3" s="6">
        <f>D15</f>
        <v>114.49999999999999</v>
      </c>
      <c r="O3" s="6" t="s">
        <v>28</v>
      </c>
      <c r="P3" s="6">
        <f>F15</f>
        <v>114</v>
      </c>
      <c r="Q3" s="6">
        <f>D23</f>
        <v>114.30000000000001</v>
      </c>
      <c r="R3" s="6">
        <f>F23</f>
        <v>114</v>
      </c>
      <c r="W3" s="2" t="s">
        <v>107</v>
      </c>
      <c r="X3" s="2" t="s">
        <v>102</v>
      </c>
      <c r="Y3" s="2" t="s">
        <v>103</v>
      </c>
      <c r="Z3" s="2" t="s">
        <v>108</v>
      </c>
      <c r="AA3" s="2" t="s">
        <v>104</v>
      </c>
      <c r="AB3" s="2" t="s">
        <v>105</v>
      </c>
      <c r="AC3" s="2" t="s">
        <v>109</v>
      </c>
      <c r="AD3" s="2" t="s">
        <v>110</v>
      </c>
      <c r="AE3" s="2" t="s">
        <v>106</v>
      </c>
      <c r="AF3" s="2" t="s">
        <v>111</v>
      </c>
    </row>
    <row r="4" spans="3:32" ht="30" customHeight="1">
      <c r="C4" s="14" t="s">
        <v>67</v>
      </c>
      <c r="D4" s="15">
        <v>13.1</v>
      </c>
      <c r="E4" s="31">
        <f>ROUND(D4,0)</f>
        <v>13</v>
      </c>
      <c r="F4" s="24">
        <f>ROUND(G4*E4,1)</f>
        <v>13</v>
      </c>
      <c r="G4" s="16">
        <f>VLOOKUP(入力シート!C7,$S$4:$T$14,2,)</f>
        <v>1</v>
      </c>
      <c r="I4" s="17" t="s">
        <v>67</v>
      </c>
      <c r="J4" s="37">
        <f>E4</f>
        <v>13</v>
      </c>
      <c r="K4" s="38">
        <f>F4</f>
        <v>13</v>
      </c>
      <c r="L4" s="12"/>
      <c r="S4" s="2" t="s">
        <v>82</v>
      </c>
      <c r="T4" s="11">
        <v>2</v>
      </c>
      <c r="U4" s="2" t="s">
        <v>45</v>
      </c>
      <c r="W4" s="34">
        <f>ROUND(ROUND($E4*2,1)-$E4,1)</f>
        <v>13</v>
      </c>
      <c r="X4" s="34">
        <f>ROUND(ROUND($E4*1.5,1)-$E4,1)</f>
        <v>6.5</v>
      </c>
      <c r="Y4" s="34">
        <f>ROUND(ROUND($E4*1.3,1)-$E4,1)</f>
        <v>3.9</v>
      </c>
      <c r="Z4" s="34">
        <f>ROUND(ROUND($E4*1.1,1)-$E4,1)</f>
        <v>1.3</v>
      </c>
      <c r="AA4" s="34">
        <f>ROUND(ROUND($E4*1.05,1)-$E4,1)</f>
        <v>0.7</v>
      </c>
      <c r="AB4" s="34">
        <f>ROUND(ROUND($E4*0.95,1)-$E4,1)</f>
        <v>-0.6</v>
      </c>
      <c r="AC4" s="34">
        <f>ROUND(ROUND($E4*0.9,1)-$E4,1)</f>
        <v>-1.3</v>
      </c>
      <c r="AD4" s="34">
        <f t="shared" ref="AD4:AE4" si="0">ROUND(ROUND($E4*1.5,1)-$E4,1)</f>
        <v>6.5</v>
      </c>
      <c r="AE4" s="34">
        <f t="shared" si="0"/>
        <v>6.5</v>
      </c>
    </row>
    <row r="5" spans="3:32" ht="30" customHeight="1">
      <c r="C5" s="14" t="s">
        <v>68</v>
      </c>
      <c r="D5" s="15">
        <v>12.2</v>
      </c>
      <c r="E5" s="31">
        <f t="shared" ref="E5:E14" si="1">ROUND(D5,0)</f>
        <v>12</v>
      </c>
      <c r="F5" s="24">
        <f t="shared" ref="F5:F13" si="2">ROUND(G5*E5,1)</f>
        <v>12</v>
      </c>
      <c r="G5" s="16">
        <f>VLOOKUP(入力シート!D7,$S$4:$T$14,2,)</f>
        <v>1</v>
      </c>
      <c r="I5" s="18" t="s">
        <v>68</v>
      </c>
      <c r="J5" s="37">
        <f t="shared" ref="J5:J8" si="3">E5</f>
        <v>12</v>
      </c>
      <c r="K5" s="38">
        <f t="shared" ref="K5:K8" si="4">F5</f>
        <v>12</v>
      </c>
      <c r="L5" s="12"/>
      <c r="S5" s="2" t="s">
        <v>83</v>
      </c>
      <c r="T5" s="11">
        <v>1.5</v>
      </c>
      <c r="U5" s="2" t="s">
        <v>12</v>
      </c>
      <c r="W5">
        <f>ROUND(D5*2,1)-D5</f>
        <v>12.2</v>
      </c>
      <c r="X5">
        <f>ROUND(D5*1.5,1)-D5</f>
        <v>6.1000000000000014</v>
      </c>
      <c r="Y5">
        <f>ROUND(D5*1.3,1)-D5</f>
        <v>3.7000000000000011</v>
      </c>
      <c r="Z5">
        <f>ROUND(D5*1.1,1)-D5</f>
        <v>1.2000000000000011</v>
      </c>
      <c r="AA5">
        <f>ROUND(D5*1.05,1)-D5</f>
        <v>0.60000000000000142</v>
      </c>
      <c r="AB5">
        <f>ROUND(D5*0.95,1)-D5</f>
        <v>-0.59999999999999964</v>
      </c>
      <c r="AC5">
        <f>ROUND(D5*0.9,1)-D5</f>
        <v>-1.1999999999999993</v>
      </c>
      <c r="AD5">
        <f>ROUND(D5*0.7,1)-D5</f>
        <v>-3.6999999999999993</v>
      </c>
      <c r="AE5" s="25">
        <f>ROUND(D5*0.5,1)-D5</f>
        <v>-6.1</v>
      </c>
    </row>
    <row r="6" spans="3:32" ht="30" customHeight="1">
      <c r="C6" s="14" t="s">
        <v>69</v>
      </c>
      <c r="D6" s="15">
        <v>3.7</v>
      </c>
      <c r="E6" s="31">
        <f t="shared" si="1"/>
        <v>4</v>
      </c>
      <c r="F6" s="24">
        <f t="shared" si="2"/>
        <v>4</v>
      </c>
      <c r="G6" s="16">
        <f>VLOOKUP(入力シート!E7,$S$4:$T$14,2,)</f>
        <v>1</v>
      </c>
      <c r="I6" s="18" t="s">
        <v>69</v>
      </c>
      <c r="J6" s="37">
        <f t="shared" si="3"/>
        <v>4</v>
      </c>
      <c r="K6" s="38">
        <f t="shared" si="4"/>
        <v>4</v>
      </c>
      <c r="L6" s="12"/>
      <c r="N6" s="97"/>
      <c r="O6" s="97"/>
      <c r="P6" s="97"/>
      <c r="Q6" s="97"/>
      <c r="S6" s="2" t="s">
        <v>84</v>
      </c>
      <c r="T6" s="11">
        <v>1.3</v>
      </c>
      <c r="U6" s="2" t="s">
        <v>13</v>
      </c>
      <c r="W6">
        <f>ROUND(D6*2,1)-D6</f>
        <v>3.7</v>
      </c>
      <c r="X6">
        <f>ROUND(D6*1.5,1)-D6</f>
        <v>1.8999999999999995</v>
      </c>
      <c r="Y6">
        <f>ROUND(D6*1.3,1)-D6</f>
        <v>1.0999999999999996</v>
      </c>
      <c r="Z6">
        <f>ROUND(D6*1.1,1)-D6</f>
        <v>0.39999999999999947</v>
      </c>
      <c r="AA6">
        <f>ROUND(D6*1.05,1)-D6</f>
        <v>0.19999999999999973</v>
      </c>
      <c r="AB6">
        <f>ROUND(D6*0.95,1)-D6</f>
        <v>-0.20000000000000018</v>
      </c>
      <c r="AC6">
        <f>ROUND(D6*0.9,1)-D6</f>
        <v>-0.40000000000000036</v>
      </c>
      <c r="AD6">
        <f>ROUND(D6*0.7,1)-D6</f>
        <v>-1.1000000000000001</v>
      </c>
      <c r="AE6">
        <f>ROUND(D6*0.5,1)-D6</f>
        <v>-1.8000000000000003</v>
      </c>
    </row>
    <row r="7" spans="3:32" ht="30" customHeight="1">
      <c r="C7" s="14" t="s">
        <v>97</v>
      </c>
      <c r="D7" s="40">
        <v>3.1</v>
      </c>
      <c r="E7" s="31">
        <f t="shared" si="1"/>
        <v>3</v>
      </c>
      <c r="F7" s="24">
        <f t="shared" si="2"/>
        <v>3</v>
      </c>
      <c r="G7" s="16">
        <f>VLOOKUP(入力シート!F7,$S$4:$T$14,2,)</f>
        <v>1</v>
      </c>
      <c r="I7" s="19" t="s">
        <v>97</v>
      </c>
      <c r="J7" s="37">
        <f t="shared" si="3"/>
        <v>3</v>
      </c>
      <c r="K7" s="38">
        <f t="shared" si="4"/>
        <v>3</v>
      </c>
      <c r="L7" s="12"/>
      <c r="S7" s="2" t="s">
        <v>85</v>
      </c>
      <c r="T7" s="11">
        <v>1.1000000000000001</v>
      </c>
      <c r="U7" s="2" t="s">
        <v>14</v>
      </c>
      <c r="W7">
        <f>ROUND(D7*2,1)-D7</f>
        <v>3.1</v>
      </c>
      <c r="X7">
        <f>ROUND(D7*1.5,1)-D7</f>
        <v>1.6</v>
      </c>
      <c r="Y7">
        <f>ROUND(D7*1.3,1)-D7</f>
        <v>0.89999999999999991</v>
      </c>
      <c r="Z7">
        <f>ROUND(D7*1.1,1)-D7</f>
        <v>0.29999999999999982</v>
      </c>
      <c r="AA7">
        <f>ROUND(D7*1.05,1)-D7</f>
        <v>0.19999999999999973</v>
      </c>
      <c r="AB7">
        <f>ROUND(D7*0.95,1)-D7</f>
        <v>-0.20000000000000018</v>
      </c>
      <c r="AC7">
        <f>ROUND(D7*0.9,1)-D7</f>
        <v>-0.30000000000000027</v>
      </c>
      <c r="AD7">
        <f>ROUND(D7*0.7,1)-D7</f>
        <v>-0.89999999999999991</v>
      </c>
      <c r="AE7" s="25">
        <f>ROUND(D7*0.5,1)-D7</f>
        <v>-1.5</v>
      </c>
    </row>
    <row r="8" spans="3:32" ht="30" customHeight="1">
      <c r="C8" s="14" t="s">
        <v>70</v>
      </c>
      <c r="D8" s="15">
        <v>4.8</v>
      </c>
      <c r="E8" s="31">
        <v>5</v>
      </c>
      <c r="F8" s="24">
        <f t="shared" si="2"/>
        <v>5</v>
      </c>
      <c r="G8" s="16">
        <f>VLOOKUP(入力シート!G7,$S$4:$T$14,2,)</f>
        <v>1</v>
      </c>
      <c r="I8" s="19" t="s">
        <v>70</v>
      </c>
      <c r="J8" s="37">
        <f t="shared" si="3"/>
        <v>5</v>
      </c>
      <c r="K8" s="38">
        <f t="shared" si="4"/>
        <v>5</v>
      </c>
      <c r="L8" s="12"/>
      <c r="M8" s="10"/>
      <c r="S8" s="2" t="s">
        <v>86</v>
      </c>
      <c r="T8" s="11">
        <v>1.05</v>
      </c>
      <c r="U8" s="2" t="s">
        <v>15</v>
      </c>
      <c r="W8">
        <f>ROUND(D8*2,1)-D8</f>
        <v>4.8</v>
      </c>
      <c r="X8">
        <f>ROUND(D8*1.5,1)-D8</f>
        <v>2.4000000000000004</v>
      </c>
      <c r="Y8">
        <f>ROUND(D8*1.3,1)-D8</f>
        <v>1.4000000000000004</v>
      </c>
      <c r="Z8">
        <f>ROUND(D8*1.1,1)-D8</f>
        <v>0.5</v>
      </c>
      <c r="AA8">
        <f>ROUND(D8*1.05,1)-D8</f>
        <v>0.20000000000000018</v>
      </c>
      <c r="AB8">
        <f>ROUND(D8*0.95,1)-D8</f>
        <v>-0.20000000000000018</v>
      </c>
      <c r="AC8" s="25">
        <f>ROUND(D8*0.9,1)-D8</f>
        <v>-0.5</v>
      </c>
      <c r="AD8" s="25">
        <f>ROUND(D8*0.7,1)-D8</f>
        <v>-1.4</v>
      </c>
      <c r="AE8" s="25">
        <f>ROUND(D8*0.5,1)-D8</f>
        <v>-2.4</v>
      </c>
    </row>
    <row r="9" spans="3:32" ht="30" customHeight="1">
      <c r="C9" s="2" t="s">
        <v>101</v>
      </c>
      <c r="D9" s="2">
        <v>16.399999999999999</v>
      </c>
      <c r="E9" s="26">
        <f t="shared" si="1"/>
        <v>16</v>
      </c>
      <c r="F9" s="32">
        <f t="shared" si="2"/>
        <v>16</v>
      </c>
      <c r="G9" s="3">
        <f>VLOOKUP(入力シート!H7,$S$4:$T$14,2,)</f>
        <v>1</v>
      </c>
      <c r="S9" s="2" t="s">
        <v>4</v>
      </c>
      <c r="T9" s="11">
        <v>1</v>
      </c>
      <c r="U9" s="2" t="s">
        <v>16</v>
      </c>
    </row>
    <row r="10" spans="3:32" ht="30" customHeight="1">
      <c r="C10" s="2" t="s">
        <v>3</v>
      </c>
      <c r="D10" s="2">
        <v>6.8</v>
      </c>
      <c r="E10" s="26">
        <f t="shared" si="1"/>
        <v>7</v>
      </c>
      <c r="F10" s="32">
        <f t="shared" si="2"/>
        <v>7</v>
      </c>
      <c r="G10" s="3">
        <f>VLOOKUP(入力シート!I7,$S$4:$T$14,2,)</f>
        <v>1</v>
      </c>
      <c r="I10" t="s">
        <v>121</v>
      </c>
      <c r="S10" s="2" t="s">
        <v>87</v>
      </c>
      <c r="T10" s="11">
        <v>0.95</v>
      </c>
      <c r="U10" s="2" t="s">
        <v>17</v>
      </c>
    </row>
    <row r="11" spans="3:32" ht="30" customHeight="1">
      <c r="C11" s="2" t="s">
        <v>116</v>
      </c>
      <c r="D11" s="2">
        <v>6.1</v>
      </c>
      <c r="E11" s="26">
        <f t="shared" si="1"/>
        <v>6</v>
      </c>
      <c r="F11" s="32">
        <f t="shared" si="2"/>
        <v>6</v>
      </c>
      <c r="G11" s="3">
        <f>VLOOKUP(入力シート!J7,$S$4:$T$14,2,)</f>
        <v>1</v>
      </c>
      <c r="O11" s="12"/>
      <c r="S11" s="2" t="s">
        <v>88</v>
      </c>
      <c r="T11" s="11">
        <v>0.9</v>
      </c>
      <c r="U11" s="2" t="s">
        <v>18</v>
      </c>
    </row>
    <row r="12" spans="3:32" ht="30" customHeight="1">
      <c r="C12" s="2" t="s">
        <v>2</v>
      </c>
      <c r="D12" s="2">
        <v>4</v>
      </c>
      <c r="E12" s="26">
        <f t="shared" si="1"/>
        <v>4</v>
      </c>
      <c r="F12" s="32">
        <f t="shared" si="2"/>
        <v>4</v>
      </c>
      <c r="G12" s="3">
        <f>VLOOKUP(入力シート!K7,$S$4:$T$14,2,)</f>
        <v>1</v>
      </c>
      <c r="O12" s="10"/>
      <c r="S12" s="2" t="s">
        <v>89</v>
      </c>
      <c r="T12" s="11">
        <v>0.7</v>
      </c>
      <c r="U12" s="2" t="s">
        <v>19</v>
      </c>
    </row>
    <row r="13" spans="3:32" ht="30" customHeight="1">
      <c r="C13" s="2" t="s">
        <v>6</v>
      </c>
      <c r="D13" s="26">
        <v>19</v>
      </c>
      <c r="E13" s="26">
        <f t="shared" si="1"/>
        <v>19</v>
      </c>
      <c r="F13" s="32">
        <f t="shared" si="2"/>
        <v>19</v>
      </c>
      <c r="G13" s="3">
        <f>VLOOKUP(入力シート!L7,$S$4:$T$14,2,)</f>
        <v>1</v>
      </c>
      <c r="S13" s="2" t="s">
        <v>90</v>
      </c>
      <c r="T13" s="11">
        <v>0.5</v>
      </c>
      <c r="U13" s="2" t="s">
        <v>20</v>
      </c>
    </row>
    <row r="14" spans="3:32" ht="30" customHeight="1">
      <c r="C14" s="2" t="s">
        <v>7</v>
      </c>
      <c r="D14" s="2">
        <v>25.3</v>
      </c>
      <c r="E14" s="26">
        <f t="shared" si="1"/>
        <v>25</v>
      </c>
      <c r="F14" s="27">
        <v>25</v>
      </c>
      <c r="G14" s="16"/>
      <c r="S14" s="2" t="s">
        <v>91</v>
      </c>
      <c r="T14" s="11">
        <v>0</v>
      </c>
      <c r="U14" s="2" t="s">
        <v>21</v>
      </c>
    </row>
    <row r="15" spans="3:32" ht="30" customHeight="1">
      <c r="D15" s="28">
        <f>SUM(D4:D14)</f>
        <v>114.49999999999999</v>
      </c>
      <c r="E15" s="28">
        <f>SUM(E3,E9:E14)</f>
        <v>114</v>
      </c>
      <c r="F15" s="29">
        <f>SUM(F3,F9:F14)</f>
        <v>114</v>
      </c>
      <c r="G15" s="1"/>
      <c r="I15" s="36">
        <f>SUM(F3,F9:F13)</f>
        <v>89</v>
      </c>
      <c r="U15" s="2" t="s">
        <v>22</v>
      </c>
    </row>
    <row r="16" spans="3:32" ht="30" customHeight="1">
      <c r="C16" s="7"/>
      <c r="D16" s="30" t="s">
        <v>113</v>
      </c>
      <c r="E16" s="30" t="s">
        <v>114</v>
      </c>
      <c r="F16" s="8" t="s">
        <v>96</v>
      </c>
      <c r="G16" s="9" t="s">
        <v>5</v>
      </c>
      <c r="M16" s="10"/>
      <c r="U16" s="2" t="s">
        <v>23</v>
      </c>
    </row>
    <row r="17" spans="3:21" ht="30" customHeight="1">
      <c r="C17" s="2" t="s">
        <v>8</v>
      </c>
      <c r="D17" s="2">
        <v>21</v>
      </c>
      <c r="E17" s="26">
        <f t="shared" ref="E17:E21" si="5">ROUND(D17,0)</f>
        <v>21</v>
      </c>
      <c r="F17" s="32">
        <f t="shared" ref="F17:F20" si="6">ROUND(G17*E17,1)</f>
        <v>21</v>
      </c>
      <c r="G17" s="3">
        <f>VLOOKUP(入力シート!B10,$S$4:$T$14,2,)</f>
        <v>1</v>
      </c>
      <c r="U17" s="2" t="s">
        <v>24</v>
      </c>
    </row>
    <row r="18" spans="3:21" ht="30" customHeight="1">
      <c r="C18" s="2" t="s">
        <v>9</v>
      </c>
      <c r="D18" s="2">
        <v>23.4</v>
      </c>
      <c r="E18" s="26">
        <f t="shared" si="5"/>
        <v>23</v>
      </c>
      <c r="F18" s="32">
        <f t="shared" si="6"/>
        <v>23</v>
      </c>
      <c r="G18" s="3">
        <f>VLOOKUP(入力シート!C10,$S$4:$T$14,2,)</f>
        <v>1</v>
      </c>
      <c r="U18" s="2" t="s">
        <v>25</v>
      </c>
    </row>
    <row r="19" spans="3:21" ht="30" customHeight="1">
      <c r="C19" s="2" t="s">
        <v>10</v>
      </c>
      <c r="D19" s="2">
        <v>14.6</v>
      </c>
      <c r="E19" s="26">
        <f t="shared" si="5"/>
        <v>15</v>
      </c>
      <c r="F19" s="32">
        <f t="shared" si="6"/>
        <v>15</v>
      </c>
      <c r="G19" s="3">
        <f>VLOOKUP(入力シート!D10,$S$4:$T$14,2,)</f>
        <v>1</v>
      </c>
      <c r="U19" s="2" t="s">
        <v>26</v>
      </c>
    </row>
    <row r="20" spans="3:21" ht="30" customHeight="1">
      <c r="C20" s="2" t="s">
        <v>98</v>
      </c>
      <c r="D20" s="2">
        <v>10.4</v>
      </c>
      <c r="E20" s="26">
        <f>ROUND(D20,0)</f>
        <v>10</v>
      </c>
      <c r="F20" s="32">
        <f t="shared" si="6"/>
        <v>10</v>
      </c>
      <c r="G20" s="3">
        <f>VLOOKUP(入力シート!E10,$S$4:$T$14,2,)</f>
        <v>1</v>
      </c>
      <c r="U20" s="2" t="s">
        <v>27</v>
      </c>
    </row>
    <row r="21" spans="3:21" ht="30" customHeight="1">
      <c r="C21" s="2" t="s">
        <v>29</v>
      </c>
      <c r="D21" s="27">
        <v>9.3000000000000007</v>
      </c>
      <c r="E21" s="26">
        <f t="shared" si="5"/>
        <v>9</v>
      </c>
      <c r="F21" s="27">
        <v>9</v>
      </c>
      <c r="G21" s="16"/>
      <c r="U21" s="2" t="s">
        <v>30</v>
      </c>
    </row>
    <row r="22" spans="3:21" ht="30" customHeight="1">
      <c r="C22" s="13" t="s">
        <v>46</v>
      </c>
      <c r="D22" s="33">
        <v>35.6</v>
      </c>
      <c r="E22" s="39">
        <f>E15-E17-E18-E19-E20-E21</f>
        <v>36</v>
      </c>
      <c r="F22" s="39">
        <f>F15-F17-F18-F19-F20-F21</f>
        <v>36</v>
      </c>
      <c r="G22" s="15"/>
      <c r="U22" s="2" t="s">
        <v>31</v>
      </c>
    </row>
    <row r="23" spans="3:21" ht="30" customHeight="1">
      <c r="D23" s="34">
        <f>SUM(D17:D22)</f>
        <v>114.30000000000001</v>
      </c>
      <c r="E23" s="34">
        <f>SUM(E17:E22)</f>
        <v>114</v>
      </c>
      <c r="F23" s="35">
        <f>SUM(F17:F22)</f>
        <v>114</v>
      </c>
      <c r="I23" s="36">
        <f>SUM(F17:F21)</f>
        <v>78</v>
      </c>
      <c r="U23" s="2" t="s">
        <v>32</v>
      </c>
    </row>
    <row r="24" spans="3:21" ht="30" customHeight="1">
      <c r="C24" s="98"/>
      <c r="D24" s="98"/>
      <c r="E24" s="98"/>
      <c r="F24" s="98"/>
      <c r="G24" s="98"/>
      <c r="U24" s="2" t="s">
        <v>33</v>
      </c>
    </row>
    <row r="25" spans="3:21" ht="30" customHeight="1">
      <c r="C25" s="98"/>
      <c r="D25" s="98"/>
      <c r="E25" s="98"/>
      <c r="F25" s="98"/>
      <c r="G25" s="98"/>
      <c r="U25" s="2" t="s">
        <v>34</v>
      </c>
    </row>
    <row r="26" spans="3:21" ht="30" customHeight="1">
      <c r="U26" s="2" t="s">
        <v>35</v>
      </c>
    </row>
    <row r="27" spans="3:21" ht="30" customHeight="1">
      <c r="U27" s="2" t="s">
        <v>36</v>
      </c>
    </row>
    <row r="28" spans="3:21" ht="30" customHeight="1">
      <c r="U28" s="2" t="s">
        <v>37</v>
      </c>
    </row>
    <row r="29" spans="3:21" ht="30" customHeight="1">
      <c r="U29" s="2" t="s">
        <v>38</v>
      </c>
    </row>
    <row r="30" spans="3:21" ht="30" customHeight="1">
      <c r="U30" s="2" t="s">
        <v>39</v>
      </c>
    </row>
    <row r="31" spans="3:21" ht="30" customHeight="1">
      <c r="U31" s="2" t="s">
        <v>40</v>
      </c>
    </row>
    <row r="32" spans="3:21" ht="30" customHeight="1">
      <c r="U32" s="2" t="s">
        <v>41</v>
      </c>
    </row>
    <row r="33" spans="21:21" ht="30" customHeight="1">
      <c r="U33" s="2" t="s">
        <v>42</v>
      </c>
    </row>
    <row r="34" spans="21:21" ht="30" customHeight="1">
      <c r="U34" s="2" t="s">
        <v>43</v>
      </c>
    </row>
    <row r="35" spans="21:21" ht="30" customHeight="1">
      <c r="U35" s="2" t="s">
        <v>47</v>
      </c>
    </row>
    <row r="36" spans="21:21" ht="30" customHeight="1">
      <c r="U36" s="2" t="s">
        <v>48</v>
      </c>
    </row>
    <row r="37" spans="21:21" ht="30" customHeight="1">
      <c r="U37" s="2" t="s">
        <v>49</v>
      </c>
    </row>
    <row r="38" spans="21:21" ht="30" customHeight="1">
      <c r="U38" s="2" t="s">
        <v>50</v>
      </c>
    </row>
    <row r="39" spans="21:21" ht="30" customHeight="1">
      <c r="U39" s="2" t="s">
        <v>51</v>
      </c>
    </row>
    <row r="40" spans="21:21" ht="30" customHeight="1">
      <c r="U40" s="2" t="s">
        <v>52</v>
      </c>
    </row>
    <row r="41" spans="21:21" ht="30" customHeight="1">
      <c r="U41" s="2" t="s">
        <v>53</v>
      </c>
    </row>
    <row r="42" spans="21:21" ht="30" customHeight="1">
      <c r="U42" s="2" t="s">
        <v>54</v>
      </c>
    </row>
    <row r="43" spans="21:21" ht="30" customHeight="1">
      <c r="U43" s="2" t="s">
        <v>55</v>
      </c>
    </row>
    <row r="44" spans="21:21" ht="30" customHeight="1">
      <c r="U44" s="2" t="s">
        <v>56</v>
      </c>
    </row>
    <row r="45" spans="21:21" ht="30" customHeight="1">
      <c r="U45" s="2" t="s">
        <v>57</v>
      </c>
    </row>
    <row r="46" spans="21:21" ht="30" customHeight="1">
      <c r="U46" s="2" t="s">
        <v>58</v>
      </c>
    </row>
    <row r="47" spans="21:21" ht="30" customHeight="1">
      <c r="U47" s="2" t="s">
        <v>59</v>
      </c>
    </row>
    <row r="48" spans="21:21" ht="30" customHeight="1">
      <c r="U48" s="2" t="s">
        <v>60</v>
      </c>
    </row>
    <row r="49" spans="21:21" ht="30" customHeight="1">
      <c r="U49" s="2" t="s">
        <v>61</v>
      </c>
    </row>
    <row r="50" spans="21:21" ht="30" customHeight="1">
      <c r="U50" s="2" t="s">
        <v>62</v>
      </c>
    </row>
    <row r="51" spans="21:21" ht="30" customHeight="1">
      <c r="U51" s="2" t="s">
        <v>63</v>
      </c>
    </row>
    <row r="52" spans="21:21" ht="30" customHeight="1">
      <c r="U52" s="2" t="s">
        <v>64</v>
      </c>
    </row>
    <row r="53" spans="21:21" ht="30" customHeight="1">
      <c r="U53" s="2" t="s">
        <v>65</v>
      </c>
    </row>
    <row r="54" spans="21:21" ht="30" customHeight="1">
      <c r="U54" s="2" t="s">
        <v>66</v>
      </c>
    </row>
  </sheetData>
  <sheetProtection selectLockedCells="1"/>
  <mergeCells count="3">
    <mergeCell ref="N6:O6"/>
    <mergeCell ref="P6:Q6"/>
    <mergeCell ref="C24:G25"/>
  </mergeCells>
  <phoneticPr fontId="1"/>
  <pageMargins left="0.7" right="0.7" top="0.75" bottom="0.75" header="0.3" footer="0.3"/>
  <pageSetup paperSize="9" scale="4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50:M54"/>
  <sheetViews>
    <sheetView topLeftCell="A43" workbookViewId="0">
      <selection activeCell="M50" sqref="M50"/>
    </sheetView>
  </sheetViews>
  <sheetFormatPr defaultRowHeight="13"/>
  <cols>
    <col min="13" max="13" width="9.36328125" bestFit="1" customWidth="1"/>
  </cols>
  <sheetData>
    <row r="50" spans="13:13">
      <c r="M50" s="23">
        <v>0.2</v>
      </c>
    </row>
    <row r="51" spans="13:13">
      <c r="M51" s="22">
        <v>12.34</v>
      </c>
    </row>
    <row r="54" spans="13:13">
      <c r="M54" t="s">
        <v>80</v>
      </c>
    </row>
  </sheetData>
  <sheetProtection selectLockedCells="1"/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32f7f-0a5d-4a8a-9681-2bec5b3928da">
      <Terms xmlns="http://schemas.microsoft.com/office/infopath/2007/PartnerControls"/>
    </lcf76f155ced4ddcb4097134ff3c332f>
    <TaxCatchAll xmlns="b5471033-25ca-41e4-b4f9-0c69817a7d90" xsi:nil="true"/>
    <_Flow_SignoffStatus xmlns="1e332f7f-0a5d-4a8a-9681-2bec5b3928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20FC78ADB8B34FB0AA1892B058441E" ma:contentTypeVersion="" ma:contentTypeDescription="新しいドキュメントを作成します。" ma:contentTypeScope="" ma:versionID="014bc5fac427c732649457210c737f36">
  <xsd:schema xmlns:xsd="http://www.w3.org/2001/XMLSchema" xmlns:xs="http://www.w3.org/2001/XMLSchema" xmlns:p="http://schemas.microsoft.com/office/2006/metadata/properties" xmlns:ns2="1e332f7f-0a5d-4a8a-9681-2bec5b3928da" xmlns:ns3="5edea4d9-c9d3-4d83-aa22-ba3d3b35f307" xmlns:ns4="b5471033-25ca-41e4-b4f9-0c69817a7d90" targetNamespace="http://schemas.microsoft.com/office/2006/metadata/properties" ma:root="true" ma:fieldsID="deaf89a225d1f86e4c19e45960184d8f" ns2:_="" ns3:_="" ns4:_="">
    <xsd:import namespace="1e332f7f-0a5d-4a8a-9681-2bec5b3928da"/>
    <xsd:import namespace="5edea4d9-c9d3-4d83-aa22-ba3d3b35f307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32f7f-0a5d-4a8a-9681-2bec5b39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a4d9-c9d3-4d83-aa22-ba3d3b35f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BD40D2-4621-4B97-8D6A-E91E14B3EA83}" ma:internalName="TaxCatchAll" ma:showField="CatchAllData" ma:web="{5edea4d9-c9d3-4d83-aa22-ba3d3b35f30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E63BC-7C70-46D4-8FE4-55C8A328489E}">
  <ds:schemaRefs>
    <ds:schemaRef ds:uri="1e332f7f-0a5d-4a8a-9681-2bec5b3928da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b5471033-25ca-41e4-b4f9-0c69817a7d90"/>
    <ds:schemaRef ds:uri="5edea4d9-c9d3-4d83-aa22-ba3d3b35f30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F0F1B1-B31E-4BB6-990E-85488851B6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718D5-660C-4471-8C80-8B4430DBD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32f7f-0a5d-4a8a-9681-2bec5b3928da"/>
    <ds:schemaRef ds:uri="5edea4d9-c9d3-4d83-aa22-ba3d3b35f307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計算シート</vt:lpstr>
      <vt:lpstr>Sheet1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Printed>2022-08-22T12:59:22Z</cp:lastPrinted>
  <dcterms:created xsi:type="dcterms:W3CDTF">2015-10-28T22:46:44Z</dcterms:created>
  <dcterms:modified xsi:type="dcterms:W3CDTF">2023-06-08T02:29:58Z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0x010100B220FC78ADB8B34FB0AA1892B058441E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