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平成30年度以降のフォルダ\07法規課・公会計室\公会計室\03_令和２事務年度\03_検討中\06 個別事業のフルコスト情報\02令和元年度決算分\210125 法制・公会計部会（取組説明資料・ダイジェスト版・データベース・想定問答）\【参考資料2-5】ダイジェスト版、データベース\"/>
    </mc:Choice>
  </mc:AlternateContent>
  <bookViews>
    <workbookView xWindow="0" yWindow="0" windowWidth="20490" windowHeight="7770"/>
  </bookViews>
  <sheets>
    <sheet name="①事業一覧" sheetId="5" r:id="rId1"/>
    <sheet name="②フルコスト分析シート" sheetId="8" r:id="rId2"/>
    <sheet name="③フルコスト分析シートの説明" sheetId="16" r:id="rId3"/>
    <sheet name="④留意事項" sheetId="19" r:id="rId4"/>
    <sheet name="⑤参考情報" sheetId="14" r:id="rId5"/>
    <sheet name="⑥フルコスト情報の見方" sheetId="11" r:id="rId6"/>
    <sheet name="⑦令和元年度" sheetId="18" r:id="rId7"/>
    <sheet name="⑧平成30年度" sheetId="17" r:id="rId8"/>
    <sheet name="⑨平成29年度" sheetId="12" r:id="rId9"/>
    <sheet name="⑩平成28年度" sheetId="2" r:id="rId10"/>
    <sheet name="⑪平成27年度" sheetId="3" r:id="rId11"/>
    <sheet name="⑫平成26年度" sheetId="4" r:id="rId12"/>
    <sheet name="⑬計算シート" sheetId="7" r:id="rId13"/>
    <sheet name="⑭人にかかるコストの基礎データ" sheetId="6" r:id="rId14"/>
  </sheets>
  <definedNames>
    <definedName name="_xlnm.Print_Area" localSheetId="0">①事業一覧!$A$2:$J$86</definedName>
    <definedName name="_xlnm.Print_Area" localSheetId="3">④留意事項!$A$1:$D$24</definedName>
    <definedName name="_xlnm.Print_Area" localSheetId="4">⑤参考情報!$A$1:$D$88</definedName>
    <definedName name="_xlnm.Print_Area" localSheetId="5">⑥フルコスト情報の見方!$A$1:$F$54</definedName>
    <definedName name="_xlnm.Print_Area" localSheetId="6">⑦令和元年度!$A$1:$AQ$88</definedName>
    <definedName name="_xlnm.Print_Area" localSheetId="7">⑧平成30年度!$A$1:$AQ$88</definedName>
    <definedName name="_xlnm.Print_Area" localSheetId="8">⑨平成29年度!$A$1:$AQ$88</definedName>
    <definedName name="_xlnm.Print_Area" localSheetId="9">⑩平成28年度!$A$1:$AQ$88</definedName>
    <definedName name="_xlnm.Print_Area" localSheetId="10">⑪平成27年度!$A$1:$AQ$88</definedName>
    <definedName name="_xlnm.Print_Area" localSheetId="11">⑫平成26年度!$A$1:$AQ$88</definedName>
    <definedName name="_xlnm.Print_Area" localSheetId="12">⑬計算シート!$A$1:$U$57</definedName>
    <definedName name="_xlnm.Print_Area" localSheetId="13">⑭人にかかるコストの基礎データ!$A$1:$H$17</definedName>
    <definedName name="_xlnm.Print_Titles" localSheetId="0">①事業一覧!$2:$2</definedName>
    <definedName name="_xlnm.Print_Titles" localSheetId="6">⑦令和元年度!$B:$C</definedName>
    <definedName name="_xlnm.Print_Titles" localSheetId="7">⑧平成30年度!$B:$C</definedName>
    <definedName name="_xlnm.Print_Titles" localSheetId="8">⑨平成29年度!$B:$C</definedName>
    <definedName name="_xlnm.Print_Titles" localSheetId="9">⑩平成28年度!$B:$C</definedName>
    <definedName name="_xlnm.Print_Titles" localSheetId="10">⑪平成27年度!$B:$C</definedName>
    <definedName name="_xlnm.Print_Titles" localSheetId="11">⑫平成26年度!$A:$E</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8" l="1"/>
  <c r="D28" i="8"/>
  <c r="D26" i="8"/>
  <c r="I53" i="7" l="1"/>
  <c r="H53" i="7"/>
  <c r="G53" i="7"/>
  <c r="F53" i="7"/>
  <c r="E53" i="7"/>
  <c r="D53" i="7"/>
  <c r="I50" i="7"/>
  <c r="H50" i="7"/>
  <c r="G50" i="7"/>
  <c r="F50" i="7"/>
  <c r="E50" i="7"/>
  <c r="D50" i="7"/>
  <c r="I47" i="7"/>
  <c r="H47" i="7"/>
  <c r="G47" i="7"/>
  <c r="F47" i="7"/>
  <c r="E47" i="7"/>
  <c r="D47" i="7"/>
  <c r="I44" i="7"/>
  <c r="H44" i="7"/>
  <c r="G44" i="7"/>
  <c r="F44" i="7"/>
  <c r="E44" i="7"/>
  <c r="D44" i="7"/>
  <c r="I40" i="7"/>
  <c r="H40" i="7"/>
  <c r="G40" i="7"/>
  <c r="F40" i="7"/>
  <c r="E40" i="7"/>
  <c r="D40" i="7"/>
  <c r="H17" i="6" l="1"/>
  <c r="H14" i="6"/>
  <c r="H11" i="6"/>
  <c r="H8" i="6"/>
  <c r="H5" i="6"/>
  <c r="K35" i="7" l="1"/>
  <c r="I52" i="7"/>
  <c r="I49" i="7"/>
  <c r="I46" i="7"/>
  <c r="I43" i="7"/>
  <c r="J42" i="8" s="1"/>
  <c r="I42" i="7"/>
  <c r="J41" i="8" s="1"/>
  <c r="I39" i="7"/>
  <c r="J39" i="8" s="1"/>
  <c r="I38" i="7"/>
  <c r="J38" i="8" s="1"/>
  <c r="I34" i="7"/>
  <c r="J31" i="8" s="1"/>
  <c r="I33" i="7"/>
  <c r="J32" i="8" s="1"/>
  <c r="I32" i="7"/>
  <c r="J29" i="8" s="1"/>
  <c r="I31" i="7"/>
  <c r="J30" i="8" s="1"/>
  <c r="I30" i="7"/>
  <c r="J27" i="8" s="1"/>
  <c r="I29" i="7"/>
  <c r="J28" i="8" s="1"/>
  <c r="I28" i="7"/>
  <c r="J25" i="8" s="1"/>
  <c r="I27" i="7"/>
  <c r="J26" i="8" s="1"/>
  <c r="I25" i="7"/>
  <c r="J36" i="8" s="1"/>
  <c r="I23" i="7"/>
  <c r="J23" i="8" s="1"/>
  <c r="I21" i="7"/>
  <c r="J20" i="8" s="1"/>
  <c r="I20" i="7"/>
  <c r="I19" i="7"/>
  <c r="I18" i="7"/>
  <c r="I16" i="7"/>
  <c r="I15" i="7"/>
  <c r="I14" i="7"/>
  <c r="J8" i="8" s="1"/>
  <c r="I35" i="7"/>
  <c r="I12" i="7"/>
  <c r="J10" i="8" s="1"/>
  <c r="I11" i="7"/>
  <c r="J13" i="8" s="1"/>
  <c r="I9" i="7"/>
  <c r="I8" i="7"/>
  <c r="I7" i="7"/>
  <c r="J11" i="8" s="1"/>
  <c r="I6" i="7"/>
  <c r="AQ101" i="18"/>
  <c r="F100" i="18" s="1"/>
  <c r="AP101" i="18"/>
  <c r="H100" i="18" s="1"/>
  <c r="Y101" i="18"/>
  <c r="G100" i="18" s="1"/>
  <c r="AQ100" i="18"/>
  <c r="F99" i="18" s="1"/>
  <c r="AP100" i="18"/>
  <c r="H99" i="18" s="1"/>
  <c r="Y100" i="18"/>
  <c r="G99" i="18" s="1"/>
  <c r="AQ99" i="18"/>
  <c r="F98" i="18" s="1"/>
  <c r="AP99" i="18"/>
  <c r="H98" i="18" s="1"/>
  <c r="Y99" i="18"/>
  <c r="G98" i="18" s="1"/>
  <c r="AQ98" i="18"/>
  <c r="F97" i="18" s="1"/>
  <c r="AP98" i="18"/>
  <c r="H97" i="18" s="1"/>
  <c r="Y98" i="18"/>
  <c r="G97" i="18" s="1"/>
  <c r="I24" i="7" l="1"/>
  <c r="J6" i="8" s="1"/>
  <c r="H24" i="6"/>
  <c r="H22" i="6"/>
  <c r="H23" i="6"/>
  <c r="I17" i="7"/>
  <c r="J21" i="8" s="1"/>
  <c r="J7" i="8"/>
  <c r="I36" i="7"/>
  <c r="J33" i="8" s="1"/>
  <c r="I10" i="7"/>
  <c r="J12" i="8" s="1"/>
  <c r="D32" i="8"/>
  <c r="H25" i="6" l="1"/>
  <c r="Y101" i="12"/>
  <c r="G100" i="12" s="1"/>
  <c r="Y100" i="12"/>
  <c r="G99" i="12" s="1"/>
  <c r="Y99" i="12"/>
  <c r="G98" i="12" s="1"/>
  <c r="Y98" i="12"/>
  <c r="G97" i="12" s="1"/>
  <c r="Y101" i="2"/>
  <c r="G100" i="2" s="1"/>
  <c r="Y100" i="2"/>
  <c r="G99" i="2" s="1"/>
  <c r="Y99" i="2"/>
  <c r="G98" i="2" s="1"/>
  <c r="Y98" i="2"/>
  <c r="G97" i="2" s="1"/>
  <c r="Y101" i="3"/>
  <c r="G100" i="3" s="1"/>
  <c r="Y100" i="3"/>
  <c r="G99" i="3" s="1"/>
  <c r="Y99" i="3"/>
  <c r="G98" i="3" s="1"/>
  <c r="Y98" i="3"/>
  <c r="G97" i="3" s="1"/>
  <c r="Y101" i="4"/>
  <c r="G100" i="4" s="1"/>
  <c r="Y100" i="4"/>
  <c r="G99" i="4" s="1"/>
  <c r="Y99" i="4"/>
  <c r="G98" i="4" s="1"/>
  <c r="Y98" i="4"/>
  <c r="G97" i="4" s="1"/>
  <c r="Y101" i="17"/>
  <c r="G100" i="17" s="1"/>
  <c r="Y100" i="17"/>
  <c r="G99" i="17" s="1"/>
  <c r="Y99" i="17"/>
  <c r="G98" i="17" s="1"/>
  <c r="Y98" i="17"/>
  <c r="G97" i="17" s="1"/>
  <c r="AQ98" i="12"/>
  <c r="F97" i="12" s="1"/>
  <c r="AQ98" i="2"/>
  <c r="F97" i="2" s="1"/>
  <c r="AQ98" i="3"/>
  <c r="F97" i="3" s="1"/>
  <c r="AQ98" i="4"/>
  <c r="F97" i="4" s="1"/>
  <c r="AQ98" i="17"/>
  <c r="F97" i="17" s="1"/>
  <c r="AQ101" i="12"/>
  <c r="F100" i="12" s="1"/>
  <c r="AP101" i="12"/>
  <c r="H100" i="12" s="1"/>
  <c r="AQ100" i="12"/>
  <c r="F99" i="12" s="1"/>
  <c r="AP100" i="12"/>
  <c r="H99" i="12" s="1"/>
  <c r="AQ99" i="12"/>
  <c r="F98" i="12" s="1"/>
  <c r="AP99" i="12"/>
  <c r="H98" i="12" s="1"/>
  <c r="AP98" i="12"/>
  <c r="H97" i="12" s="1"/>
  <c r="AQ101" i="2"/>
  <c r="F100" i="2" s="1"/>
  <c r="AP101" i="2"/>
  <c r="H100" i="2" s="1"/>
  <c r="AQ100" i="2"/>
  <c r="F99" i="2" s="1"/>
  <c r="AP100" i="2"/>
  <c r="H99" i="2" s="1"/>
  <c r="AQ99" i="2"/>
  <c r="F98" i="2" s="1"/>
  <c r="AP99" i="2"/>
  <c r="H98" i="2" s="1"/>
  <c r="AP98" i="2"/>
  <c r="H97" i="2" s="1"/>
  <c r="AQ101" i="3"/>
  <c r="F100" i="3" s="1"/>
  <c r="AP101" i="3"/>
  <c r="H100" i="3" s="1"/>
  <c r="AQ100" i="3"/>
  <c r="F99" i="3" s="1"/>
  <c r="AP100" i="3"/>
  <c r="H99" i="3" s="1"/>
  <c r="AQ99" i="3"/>
  <c r="F98" i="3" s="1"/>
  <c r="AP99" i="3"/>
  <c r="H98" i="3" s="1"/>
  <c r="AP98" i="3"/>
  <c r="H97" i="3" s="1"/>
  <c r="AQ101" i="4"/>
  <c r="F100" i="4" s="1"/>
  <c r="AP101" i="4"/>
  <c r="H100" i="4" s="1"/>
  <c r="AQ100" i="4"/>
  <c r="F99" i="4" s="1"/>
  <c r="AP100" i="4"/>
  <c r="H99" i="4" s="1"/>
  <c r="AQ99" i="4"/>
  <c r="F98" i="4" s="1"/>
  <c r="AP99" i="4"/>
  <c r="H98" i="4" s="1"/>
  <c r="AP98" i="4"/>
  <c r="H97" i="4" s="1"/>
  <c r="AQ101" i="17"/>
  <c r="F100" i="17" s="1"/>
  <c r="AP101" i="17"/>
  <c r="H100" i="17" s="1"/>
  <c r="AQ100" i="17"/>
  <c r="F99" i="17" s="1"/>
  <c r="AP100" i="17"/>
  <c r="H99" i="17" s="1"/>
  <c r="AQ99" i="17"/>
  <c r="F98" i="17" s="1"/>
  <c r="AP99" i="17"/>
  <c r="H98" i="17" s="1"/>
  <c r="AP98" i="17"/>
  <c r="H97" i="17" s="1"/>
  <c r="K76" i="5" l="1"/>
  <c r="K77" i="5"/>
  <c r="K78" i="5"/>
  <c r="K79" i="5"/>
  <c r="K80" i="5"/>
  <c r="K81" i="5"/>
  <c r="K82" i="5"/>
  <c r="K83" i="5"/>
  <c r="K84" i="5"/>
  <c r="K85" i="5"/>
  <c r="K86" i="5"/>
  <c r="G17" i="6" l="1"/>
  <c r="G14" i="6"/>
  <c r="K44" i="7" l="1"/>
  <c r="H52" i="7"/>
  <c r="H49" i="7"/>
  <c r="H46" i="7"/>
  <c r="H43" i="7"/>
  <c r="I42" i="8" s="1"/>
  <c r="H42" i="7"/>
  <c r="I41" i="8" s="1"/>
  <c r="H39" i="7"/>
  <c r="I39" i="8" s="1"/>
  <c r="H38" i="7"/>
  <c r="I38" i="8" s="1"/>
  <c r="H34" i="7"/>
  <c r="I31" i="8" s="1"/>
  <c r="H33" i="7"/>
  <c r="I32" i="8" s="1"/>
  <c r="H32" i="7"/>
  <c r="I29" i="8" s="1"/>
  <c r="H31" i="7"/>
  <c r="I30" i="8" s="1"/>
  <c r="H30" i="7"/>
  <c r="I27" i="8" s="1"/>
  <c r="H29" i="7"/>
  <c r="I28" i="8" s="1"/>
  <c r="H28" i="7"/>
  <c r="I25" i="8" s="1"/>
  <c r="H27" i="7"/>
  <c r="I26" i="8" s="1"/>
  <c r="H25" i="7"/>
  <c r="I36" i="8" s="1"/>
  <c r="H23" i="7"/>
  <c r="I23" i="8" s="1"/>
  <c r="H21" i="7"/>
  <c r="I20" i="8" s="1"/>
  <c r="H20" i="7"/>
  <c r="H19" i="7"/>
  <c r="H18" i="7"/>
  <c r="H16" i="7"/>
  <c r="H15" i="7"/>
  <c r="H14" i="7"/>
  <c r="I8" i="8" s="1"/>
  <c r="H12" i="7"/>
  <c r="I10" i="8" s="1"/>
  <c r="H11" i="7"/>
  <c r="I13" i="8" s="1"/>
  <c r="H9" i="7"/>
  <c r="H8" i="7"/>
  <c r="H7" i="7"/>
  <c r="I11" i="8" s="1"/>
  <c r="H6" i="7"/>
  <c r="H35" i="7"/>
  <c r="U52" i="7"/>
  <c r="U49" i="7"/>
  <c r="U46" i="7"/>
  <c r="U43" i="7"/>
  <c r="U42" i="7"/>
  <c r="U39" i="7"/>
  <c r="U38" i="7"/>
  <c r="U34" i="7"/>
  <c r="U33" i="7"/>
  <c r="U32" i="7"/>
  <c r="U31" i="7"/>
  <c r="U30" i="7"/>
  <c r="U29" i="7"/>
  <c r="U28" i="7"/>
  <c r="U27" i="7"/>
  <c r="U25" i="7"/>
  <c r="U23" i="7"/>
  <c r="U21" i="7"/>
  <c r="U20" i="7"/>
  <c r="U19" i="7"/>
  <c r="U18" i="7"/>
  <c r="U16" i="7"/>
  <c r="U15" i="7"/>
  <c r="U14" i="7"/>
  <c r="U12" i="7"/>
  <c r="U11" i="7"/>
  <c r="U9" i="7"/>
  <c r="U8" i="7"/>
  <c r="U7" i="7"/>
  <c r="U6" i="7"/>
  <c r="G22" i="6" l="1"/>
  <c r="G23" i="6"/>
  <c r="G24" i="6"/>
  <c r="K50" i="7"/>
  <c r="K47" i="7"/>
  <c r="K40" i="7"/>
  <c r="K53" i="7"/>
  <c r="U17" i="7"/>
  <c r="H24" i="7"/>
  <c r="I6" i="8" s="1"/>
  <c r="H10" i="7"/>
  <c r="I12" i="8" s="1"/>
  <c r="U24" i="7"/>
  <c r="H17" i="7"/>
  <c r="I21" i="8" s="1"/>
  <c r="H36" i="7"/>
  <c r="I33" i="8" s="1"/>
  <c r="I7" i="8"/>
  <c r="P7" i="8" s="1"/>
  <c r="P41" i="8"/>
  <c r="P38" i="8"/>
  <c r="P34" i="8"/>
  <c r="P30" i="8"/>
  <c r="P28" i="8"/>
  <c r="P26" i="8"/>
  <c r="P18" i="8"/>
  <c r="P17" i="8"/>
  <c r="P16" i="8"/>
  <c r="P15" i="8"/>
  <c r="P14" i="8"/>
  <c r="P8" i="8"/>
  <c r="G25" i="6" l="1"/>
  <c r="D11" i="7"/>
  <c r="S33" i="8" l="1"/>
  <c r="G52" i="7" l="1"/>
  <c r="F52" i="7"/>
  <c r="E52" i="7"/>
  <c r="D52" i="7"/>
  <c r="G49" i="7"/>
  <c r="F49" i="7"/>
  <c r="E49" i="7"/>
  <c r="D49" i="7"/>
  <c r="G46" i="7"/>
  <c r="F46" i="7"/>
  <c r="E46" i="7"/>
  <c r="D46" i="7"/>
  <c r="S31" i="8"/>
  <c r="S29" i="8"/>
  <c r="S27" i="8"/>
  <c r="S25" i="8"/>
  <c r="G34" i="7"/>
  <c r="H31" i="8" s="1"/>
  <c r="F34" i="7"/>
  <c r="G31" i="8" s="1"/>
  <c r="E34" i="7"/>
  <c r="F31" i="8" s="1"/>
  <c r="D34" i="7"/>
  <c r="G32" i="7"/>
  <c r="H29" i="8" s="1"/>
  <c r="F32" i="7"/>
  <c r="G29" i="8" s="1"/>
  <c r="E32" i="7"/>
  <c r="F29" i="8" s="1"/>
  <c r="D32" i="7"/>
  <c r="G30" i="7"/>
  <c r="H27" i="8" s="1"/>
  <c r="F30" i="7"/>
  <c r="G27" i="8" s="1"/>
  <c r="E30" i="7"/>
  <c r="F27" i="8" s="1"/>
  <c r="D30" i="7"/>
  <c r="G28" i="7"/>
  <c r="H25" i="8" s="1"/>
  <c r="F28" i="7"/>
  <c r="G25" i="8" s="1"/>
  <c r="E28" i="7"/>
  <c r="F25" i="8" s="1"/>
  <c r="D28" i="7"/>
  <c r="K30" i="7" l="1"/>
  <c r="K27" i="8" s="1"/>
  <c r="K28" i="7"/>
  <c r="K25" i="8" s="1"/>
  <c r="K32" i="7"/>
  <c r="K29" i="8" s="1"/>
  <c r="K34" i="7"/>
  <c r="K31" i="8" s="1"/>
  <c r="K46" i="7"/>
  <c r="K49" i="7"/>
  <c r="K52" i="7"/>
  <c r="E25" i="8"/>
  <c r="E27" i="8"/>
  <c r="E29" i="8"/>
  <c r="E31" i="8"/>
  <c r="K11" i="5" l="1"/>
  <c r="K7" i="5" l="1"/>
  <c r="K8" i="5"/>
  <c r="K9" i="5"/>
  <c r="K10" i="5"/>
  <c r="K12" i="5"/>
  <c r="K13" i="5"/>
  <c r="K14" i="5"/>
  <c r="K15" i="5"/>
  <c r="K16" i="5"/>
  <c r="K17"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5" i="5"/>
  <c r="K6" i="5"/>
  <c r="M2" i="8" l="1"/>
  <c r="F2" i="7"/>
  <c r="S36" i="8"/>
  <c r="G25" i="7"/>
  <c r="H36" i="8" s="1"/>
  <c r="F25" i="7"/>
  <c r="G36" i="8" s="1"/>
  <c r="E25" i="7"/>
  <c r="F36" i="8" s="1"/>
  <c r="D25" i="7"/>
  <c r="L8" i="7"/>
  <c r="K25" i="7" l="1"/>
  <c r="K36" i="8" s="1"/>
  <c r="U42" i="8"/>
  <c r="U39" i="8"/>
  <c r="U36" i="8"/>
  <c r="E36" i="8"/>
  <c r="N29" i="7"/>
  <c r="N31" i="7"/>
  <c r="O29" i="7"/>
  <c r="O35" i="7"/>
  <c r="N35" i="7"/>
  <c r="O33" i="7"/>
  <c r="N33" i="7"/>
  <c r="O31" i="7"/>
  <c r="E35" i="7"/>
  <c r="F35" i="7"/>
  <c r="G35" i="7"/>
  <c r="D35" i="7"/>
  <c r="Q34" i="8"/>
  <c r="Q32" i="8"/>
  <c r="Q30" i="8"/>
  <c r="Q28" i="8"/>
  <c r="K34" i="8" l="1"/>
  <c r="S42" i="8" l="1"/>
  <c r="S41" i="8"/>
  <c r="S39" i="8"/>
  <c r="S38" i="8"/>
  <c r="S32" i="8"/>
  <c r="S30" i="8"/>
  <c r="S28" i="8"/>
  <c r="S26" i="8"/>
  <c r="S23" i="8"/>
  <c r="S20" i="8"/>
  <c r="S8" i="8"/>
  <c r="S10" i="8"/>
  <c r="S13" i="8"/>
  <c r="S11" i="8"/>
  <c r="S7" i="8"/>
  <c r="G43" i="7"/>
  <c r="H42" i="8" s="1"/>
  <c r="G42" i="7"/>
  <c r="H41" i="8" s="1"/>
  <c r="G39" i="7"/>
  <c r="H39" i="8" s="1"/>
  <c r="G38" i="7"/>
  <c r="H38" i="8" s="1"/>
  <c r="G33" i="7"/>
  <c r="H32" i="8" s="1"/>
  <c r="G31" i="7"/>
  <c r="H30" i="8" s="1"/>
  <c r="G29" i="7"/>
  <c r="H28" i="8" s="1"/>
  <c r="G27" i="7"/>
  <c r="H26" i="8" s="1"/>
  <c r="G23" i="7"/>
  <c r="H23" i="8" s="1"/>
  <c r="G21" i="7"/>
  <c r="H20" i="8" s="1"/>
  <c r="G20" i="7"/>
  <c r="G19" i="7"/>
  <c r="G16" i="7"/>
  <c r="G14" i="7"/>
  <c r="H8" i="8" s="1"/>
  <c r="G12" i="7"/>
  <c r="H10" i="8" s="1"/>
  <c r="G11" i="7"/>
  <c r="H13" i="8" s="1"/>
  <c r="G9" i="7"/>
  <c r="G8" i="7"/>
  <c r="G7" i="7"/>
  <c r="H11" i="8" s="1"/>
  <c r="G6" i="7"/>
  <c r="H7" i="8" s="1"/>
  <c r="G10" i="7" l="1"/>
  <c r="H12" i="8" s="1"/>
  <c r="U10" i="7"/>
  <c r="S12" i="8" s="1"/>
  <c r="S21" i="8"/>
  <c r="S6" i="8"/>
  <c r="G36" i="7"/>
  <c r="H33" i="8" s="1"/>
  <c r="P32" i="8"/>
  <c r="G24" i="7"/>
  <c r="H6" i="8" s="1"/>
  <c r="F23" i="6"/>
  <c r="F22" i="6"/>
  <c r="F24" i="6"/>
  <c r="G8" i="6" l="1"/>
  <c r="G5" i="6"/>
  <c r="G11" i="6"/>
  <c r="G15" i="7"/>
  <c r="G17" i="7" l="1"/>
  <c r="H21" i="8" s="1"/>
  <c r="G18" i="7"/>
  <c r="D6" i="7"/>
  <c r="E6" i="7"/>
  <c r="F7" i="8" s="1"/>
  <c r="F6" i="7"/>
  <c r="G7" i="8" s="1"/>
  <c r="D14" i="7"/>
  <c r="E14" i="7"/>
  <c r="F8" i="8" s="1"/>
  <c r="F14" i="7"/>
  <c r="G8" i="8" s="1"/>
  <c r="K6" i="7" l="1"/>
  <c r="K7" i="8" s="1"/>
  <c r="K14" i="7"/>
  <c r="K8" i="8" s="1"/>
  <c r="E8" i="8"/>
  <c r="E7" i="8"/>
  <c r="D24" i="7"/>
  <c r="E22" i="6"/>
  <c r="F24" i="7"/>
  <c r="G6" i="8" s="1"/>
  <c r="E24" i="7"/>
  <c r="F6" i="8" s="1"/>
  <c r="K24" i="7" l="1"/>
  <c r="K6" i="8" s="1"/>
  <c r="E6" i="8"/>
  <c r="M13" i="8"/>
  <c r="N11" i="7" s="1"/>
  <c r="Q41" i="8" l="1"/>
  <c r="Q38" i="8"/>
  <c r="O42" i="7"/>
  <c r="N42" i="7"/>
  <c r="O38" i="7"/>
  <c r="N38" i="7"/>
  <c r="E43" i="7" l="1"/>
  <c r="F42" i="8" s="1"/>
  <c r="F42" i="7"/>
  <c r="G41" i="8" s="1"/>
  <c r="E42" i="7"/>
  <c r="F41" i="8" s="1"/>
  <c r="D42" i="7"/>
  <c r="F33" i="7"/>
  <c r="G32" i="8" s="1"/>
  <c r="E33" i="7"/>
  <c r="F32" i="8" s="1"/>
  <c r="D33" i="7"/>
  <c r="F31" i="7"/>
  <c r="G30" i="8" s="1"/>
  <c r="E31" i="7"/>
  <c r="F30" i="8" s="1"/>
  <c r="D31" i="7"/>
  <c r="F29" i="7"/>
  <c r="G28" i="8" s="1"/>
  <c r="E29" i="7"/>
  <c r="F28" i="8" s="1"/>
  <c r="D29" i="7"/>
  <c r="K33" i="7" l="1"/>
  <c r="K32" i="8" s="1"/>
  <c r="K42" i="7"/>
  <c r="K41" i="8" s="1"/>
  <c r="K31" i="7"/>
  <c r="K30" i="8" s="1"/>
  <c r="K29" i="7"/>
  <c r="K28" i="8" s="1"/>
  <c r="E41" i="8"/>
  <c r="E32" i="8"/>
  <c r="E30" i="8"/>
  <c r="E28" i="8"/>
  <c r="L19" i="7" l="1"/>
  <c r="L16" i="7"/>
  <c r="L20" i="7"/>
  <c r="Q2" i="7"/>
  <c r="F39" i="7" l="1"/>
  <c r="G39" i="8" s="1"/>
  <c r="F38" i="7"/>
  <c r="G38" i="8" s="1"/>
  <c r="E39" i="7"/>
  <c r="F39" i="8" s="1"/>
  <c r="E38" i="7"/>
  <c r="F38" i="8" s="1"/>
  <c r="D39" i="7"/>
  <c r="D38" i="7"/>
  <c r="F27" i="7"/>
  <c r="G26" i="8" s="1"/>
  <c r="E27" i="7"/>
  <c r="F26" i="8" s="1"/>
  <c r="D27" i="7"/>
  <c r="E23" i="7"/>
  <c r="F23" i="8" s="1"/>
  <c r="F21" i="7"/>
  <c r="G20" i="8" s="1"/>
  <c r="F20" i="7"/>
  <c r="F19" i="7"/>
  <c r="F16" i="7"/>
  <c r="E21" i="7"/>
  <c r="F20" i="8" s="1"/>
  <c r="E20" i="7"/>
  <c r="E19" i="7"/>
  <c r="E16" i="7"/>
  <c r="F12" i="7"/>
  <c r="G10" i="8" s="1"/>
  <c r="F11" i="7"/>
  <c r="G13" i="8" s="1"/>
  <c r="F9" i="7"/>
  <c r="F8" i="7"/>
  <c r="F7" i="7"/>
  <c r="G11" i="8" s="1"/>
  <c r="E12" i="7"/>
  <c r="F10" i="8" s="1"/>
  <c r="E11" i="7"/>
  <c r="E9" i="7"/>
  <c r="E8" i="7"/>
  <c r="E7" i="7"/>
  <c r="F11" i="8" s="1"/>
  <c r="D21" i="7"/>
  <c r="D20" i="7"/>
  <c r="D19" i="7"/>
  <c r="K19" i="7" s="1"/>
  <c r="D16" i="7"/>
  <c r="K16" i="7" s="1"/>
  <c r="D12" i="7"/>
  <c r="E13" i="8"/>
  <c r="D9" i="7"/>
  <c r="K9" i="7" s="1"/>
  <c r="D8" i="7"/>
  <c r="K8" i="7" s="1"/>
  <c r="D7" i="7"/>
  <c r="B2" i="7"/>
  <c r="F43" i="7"/>
  <c r="G42" i="8" s="1"/>
  <c r="K39" i="7" l="1"/>
  <c r="K39" i="8" s="1"/>
  <c r="K21" i="7"/>
  <c r="K20" i="8" s="1"/>
  <c r="K7" i="7"/>
  <c r="K11" i="8" s="1"/>
  <c r="K20" i="7"/>
  <c r="K38" i="7"/>
  <c r="K38" i="8" s="1"/>
  <c r="K12" i="7"/>
  <c r="K10" i="8" s="1"/>
  <c r="K11" i="7"/>
  <c r="K13" i="8" s="1"/>
  <c r="K27" i="7"/>
  <c r="K26" i="8" s="1"/>
  <c r="E38" i="8"/>
  <c r="E11" i="8"/>
  <c r="E10" i="8"/>
  <c r="E20" i="8"/>
  <c r="F13" i="8"/>
  <c r="E26" i="8"/>
  <c r="E39" i="8"/>
  <c r="D10" i="7"/>
  <c r="F10" i="7"/>
  <c r="G12" i="8" s="1"/>
  <c r="E10" i="7"/>
  <c r="F12" i="8" s="1"/>
  <c r="E36" i="7"/>
  <c r="F33" i="8" s="1"/>
  <c r="L9" i="7"/>
  <c r="E23" i="6"/>
  <c r="E24" i="6"/>
  <c r="C24" i="6"/>
  <c r="C22" i="6"/>
  <c r="C23" i="6"/>
  <c r="D22" i="6"/>
  <c r="D23" i="6"/>
  <c r="D24" i="6"/>
  <c r="K10" i="7" l="1"/>
  <c r="K12" i="8" s="1"/>
  <c r="E12" i="8"/>
  <c r="D43" i="7"/>
  <c r="K43" i="7" s="1"/>
  <c r="D23" i="7"/>
  <c r="F23" i="7"/>
  <c r="G23" i="8" s="1"/>
  <c r="E25" i="6"/>
  <c r="C25" i="6"/>
  <c r="D25" i="6"/>
  <c r="O27" i="7"/>
  <c r="N27" i="7"/>
  <c r="O14" i="7"/>
  <c r="N14" i="7"/>
  <c r="O6" i="7"/>
  <c r="N6" i="7"/>
  <c r="E15" i="7"/>
  <c r="K23" i="7" l="1"/>
  <c r="K23" i="8" s="1"/>
  <c r="E23" i="8"/>
  <c r="E42" i="8"/>
  <c r="K42" i="8"/>
  <c r="N24" i="7"/>
  <c r="E17" i="7"/>
  <c r="F21" i="8" s="1"/>
  <c r="O24" i="7"/>
  <c r="F36" i="7"/>
  <c r="G33" i="8" s="1"/>
  <c r="D36" i="7"/>
  <c r="N8" i="7"/>
  <c r="F18" i="7"/>
  <c r="D15" i="7"/>
  <c r="E18" i="7"/>
  <c r="D18" i="7"/>
  <c r="F15" i="7"/>
  <c r="N9" i="7"/>
  <c r="N20" i="7"/>
  <c r="N16" i="7"/>
  <c r="N19" i="7"/>
  <c r="O8" i="7"/>
  <c r="O9" i="7"/>
  <c r="O20" i="7"/>
  <c r="O19" i="7"/>
  <c r="O16" i="7"/>
  <c r="Q15" i="8"/>
  <c r="Q16" i="8"/>
  <c r="Q17" i="8"/>
  <c r="Q18" i="8"/>
  <c r="Q14" i="8"/>
  <c r="Q26" i="8"/>
  <c r="Q7" i="8"/>
  <c r="Q8" i="8"/>
  <c r="K15" i="7" l="1"/>
  <c r="K18" i="7"/>
  <c r="K36" i="7"/>
  <c r="K33" i="8" s="1"/>
  <c r="D17" i="7"/>
  <c r="E33" i="8"/>
  <c r="O10" i="7"/>
  <c r="O12" i="8" s="1"/>
  <c r="P12" i="8" s="1"/>
  <c r="N10" i="7"/>
  <c r="M12" i="8" s="1"/>
  <c r="F17" i="7"/>
  <c r="G21" i="8" s="1"/>
  <c r="L18" i="7"/>
  <c r="O18" i="7" s="1"/>
  <c r="O7" i="7"/>
  <c r="O11" i="8" s="1"/>
  <c r="F25" i="6"/>
  <c r="O13" i="8"/>
  <c r="P13" i="8" s="1"/>
  <c r="M6" i="8"/>
  <c r="O6" i="8"/>
  <c r="P6" i="8" s="1"/>
  <c r="K17" i="7" l="1"/>
  <c r="K21" i="8" s="1"/>
  <c r="Q6" i="8"/>
  <c r="E21" i="8"/>
  <c r="N18" i="7"/>
  <c r="P11" i="8"/>
  <c r="N7" i="7"/>
  <c r="L15" i="7"/>
  <c r="N15" i="7" s="1"/>
  <c r="N17" i="7" s="1"/>
  <c r="O11" i="7"/>
  <c r="O12" i="7" s="1"/>
  <c r="O10" i="8" s="1"/>
  <c r="Q13" i="8"/>
  <c r="Q12" i="8"/>
  <c r="N12" i="7" l="1"/>
  <c r="M10" i="8" s="1"/>
  <c r="M11" i="8"/>
  <c r="Q11" i="8" s="1"/>
  <c r="N21" i="7"/>
  <c r="P10" i="8"/>
  <c r="O15" i="7"/>
  <c r="O17" i="7" s="1"/>
  <c r="O21" i="7" l="1"/>
  <c r="M21" i="8"/>
  <c r="M20" i="8"/>
  <c r="Q10" i="8" l="1"/>
  <c r="N23" i="7"/>
  <c r="O20" i="8"/>
  <c r="P20" i="8" s="1"/>
  <c r="O21" i="8"/>
  <c r="P21" i="8" s="1"/>
  <c r="N46" i="7" l="1"/>
  <c r="N25" i="7"/>
  <c r="M36" i="8" s="1"/>
  <c r="N49" i="7"/>
  <c r="N52" i="7"/>
  <c r="N30" i="7"/>
  <c r="M27" i="8" s="1"/>
  <c r="N28" i="7"/>
  <c r="M25" i="8" s="1"/>
  <c r="N34" i="7"/>
  <c r="M31" i="8" s="1"/>
  <c r="N36" i="7"/>
  <c r="M33" i="8" s="1"/>
  <c r="N32" i="7"/>
  <c r="M29" i="8" s="1"/>
  <c r="N39" i="7"/>
  <c r="M39" i="8" s="1"/>
  <c r="M23" i="8"/>
  <c r="N43" i="7"/>
  <c r="M42" i="8" s="1"/>
  <c r="O23" i="7"/>
  <c r="O49" i="7" s="1"/>
  <c r="Q21" i="8"/>
  <c r="Q20" i="8"/>
  <c r="O23" i="8" l="1"/>
  <c r="P23" i="8" s="1"/>
  <c r="O25" i="7"/>
  <c r="O36" i="8" s="1"/>
  <c r="P36" i="8" s="1"/>
  <c r="O52" i="7"/>
  <c r="O30" i="7"/>
  <c r="O27" i="8" s="1"/>
  <c r="P27" i="8" s="1"/>
  <c r="O34" i="7"/>
  <c r="O31" i="8" s="1"/>
  <c r="P31" i="8" s="1"/>
  <c r="O39" i="7"/>
  <c r="O39" i="8" s="1"/>
  <c r="P39" i="8" s="1"/>
  <c r="O28" i="7"/>
  <c r="O25" i="8" s="1"/>
  <c r="P25" i="8" s="1"/>
  <c r="O36" i="7"/>
  <c r="O33" i="8" s="1"/>
  <c r="P33" i="8" s="1"/>
  <c r="O32" i="7"/>
  <c r="O29" i="8" s="1"/>
  <c r="O46" i="7"/>
  <c r="O43" i="7"/>
  <c r="O42" i="8" s="1"/>
  <c r="P42" i="8" s="1"/>
  <c r="Q29" i="8" l="1"/>
  <c r="P29" i="8"/>
  <c r="Q23" i="8"/>
  <c r="Q33" i="8"/>
  <c r="Q27" i="8"/>
  <c r="Q31" i="8"/>
  <c r="Q36" i="8"/>
  <c r="Q39" i="8"/>
  <c r="Q25" i="8"/>
  <c r="Q42" i="8"/>
</calcChain>
</file>

<file path=xl/comments1.xml><?xml version="1.0" encoding="utf-8"?>
<comments xmlns="http://schemas.openxmlformats.org/spreadsheetml/2006/main">
  <authors>
    <author xml:space="preserve"> </author>
  </authors>
  <commentList>
    <comment ref="M11" authorId="0" shapeId="0">
      <text>
        <r>
          <rPr>
            <b/>
            <sz val="12"/>
            <color indexed="81"/>
            <rFont val="ＭＳ Ｐゴシック"/>
            <family val="3"/>
            <charset val="128"/>
          </rPr>
          <t>直近（令和元年度）の平均給与額等　
×　国の人員数（見込み）</t>
        </r>
      </text>
    </comment>
    <comment ref="M12" authorId="0" shapeId="0">
      <text>
        <r>
          <rPr>
            <b/>
            <sz val="12"/>
            <color indexed="81"/>
            <rFont val="ＭＳ Ｐゴシック"/>
            <family val="3"/>
            <charset val="128"/>
          </rPr>
          <t>H26～令和元年度人員１人当たりコスト
×　国の人員数（見込み）</t>
        </r>
      </text>
    </comment>
    <comment ref="M20" authorId="0" shapeId="0">
      <text>
        <r>
          <rPr>
            <b/>
            <sz val="12"/>
            <color indexed="81"/>
            <rFont val="ＭＳ Ｐゴシック"/>
            <family val="3"/>
            <charset val="128"/>
          </rPr>
          <t>H26～令和元年度独法等人員１人当たりコスト
×　独法等の人員数（見込み）</t>
        </r>
      </text>
    </comment>
  </commentList>
</comments>
</file>

<file path=xl/sharedStrings.xml><?xml version="1.0" encoding="utf-8"?>
<sst xmlns="http://schemas.openxmlformats.org/spreadsheetml/2006/main" count="5493" uniqueCount="623">
  <si>
    <t>事業名</t>
    <rPh sb="0" eb="2">
      <t>ジギョウ</t>
    </rPh>
    <rPh sb="2" eb="3">
      <t>メイ</t>
    </rPh>
    <phoneticPr fontId="2"/>
  </si>
  <si>
    <t>人員数</t>
    <rPh sb="0" eb="2">
      <t>ジンイン</t>
    </rPh>
    <rPh sb="2" eb="3">
      <t>スウ</t>
    </rPh>
    <phoneticPr fontId="2"/>
  </si>
  <si>
    <t>人にかかるコスト</t>
    <rPh sb="0" eb="1">
      <t>ヒト</t>
    </rPh>
    <phoneticPr fontId="2"/>
  </si>
  <si>
    <t>物にかかるコスト</t>
    <rPh sb="0" eb="1">
      <t>モノ</t>
    </rPh>
    <phoneticPr fontId="2"/>
  </si>
  <si>
    <t>庁舎等（減価償却費）</t>
    <rPh sb="0" eb="2">
      <t>チョウシャ</t>
    </rPh>
    <rPh sb="2" eb="3">
      <t>トウ</t>
    </rPh>
    <rPh sb="4" eb="6">
      <t>ゲンカ</t>
    </rPh>
    <rPh sb="6" eb="8">
      <t>ショウキャク</t>
    </rPh>
    <rPh sb="8" eb="9">
      <t>ヒ</t>
    </rPh>
    <phoneticPr fontId="2"/>
  </si>
  <si>
    <t>事業コスト</t>
    <rPh sb="0" eb="2">
      <t>ジギョウ</t>
    </rPh>
    <phoneticPr fontId="2"/>
  </si>
  <si>
    <t>業務費用（人件費）</t>
    <rPh sb="0" eb="2">
      <t>ギョウム</t>
    </rPh>
    <rPh sb="2" eb="4">
      <t>ヒヨウ</t>
    </rPh>
    <rPh sb="5" eb="8">
      <t>ジンケンヒ</t>
    </rPh>
    <phoneticPr fontId="2"/>
  </si>
  <si>
    <t>引当外賞与見積額</t>
    <rPh sb="0" eb="2">
      <t>ヒキアテ</t>
    </rPh>
    <rPh sb="2" eb="3">
      <t>ガイ</t>
    </rPh>
    <rPh sb="3" eb="5">
      <t>ショウヨ</t>
    </rPh>
    <rPh sb="5" eb="7">
      <t>ミツモリ</t>
    </rPh>
    <rPh sb="7" eb="8">
      <t>ガク</t>
    </rPh>
    <phoneticPr fontId="2"/>
  </si>
  <si>
    <t>業務費用（人件費以外）</t>
    <rPh sb="0" eb="2">
      <t>ギョウム</t>
    </rPh>
    <rPh sb="2" eb="4">
      <t>ヒヨウ</t>
    </rPh>
    <rPh sb="5" eb="8">
      <t>ジンケンヒ</t>
    </rPh>
    <rPh sb="8" eb="10">
      <t>イガイ</t>
    </rPh>
    <phoneticPr fontId="2"/>
  </si>
  <si>
    <t>損益外減価償却相当額</t>
    <rPh sb="0" eb="2">
      <t>ソンエキ</t>
    </rPh>
    <rPh sb="2" eb="3">
      <t>ガイ</t>
    </rPh>
    <rPh sb="3" eb="5">
      <t>ゲンカ</t>
    </rPh>
    <rPh sb="5" eb="7">
      <t>ショウキャク</t>
    </rPh>
    <rPh sb="7" eb="9">
      <t>ソウトウ</t>
    </rPh>
    <rPh sb="9" eb="10">
      <t>ガク</t>
    </rPh>
    <phoneticPr fontId="2"/>
  </si>
  <si>
    <t>フルコスト合計</t>
    <rPh sb="5" eb="7">
      <t>ゴウケイ</t>
    </rPh>
    <phoneticPr fontId="2"/>
  </si>
  <si>
    <t>自己収入</t>
    <rPh sb="0" eb="2">
      <t>ジコ</t>
    </rPh>
    <rPh sb="2" eb="4">
      <t>シュウニュウ</t>
    </rPh>
    <phoneticPr fontId="2"/>
  </si>
  <si>
    <t>自己収入比率</t>
    <rPh sb="0" eb="2">
      <t>ジコ</t>
    </rPh>
    <rPh sb="2" eb="4">
      <t>シュウニュウ</t>
    </rPh>
    <rPh sb="4" eb="6">
      <t>ヒリツ</t>
    </rPh>
    <phoneticPr fontId="2"/>
  </si>
  <si>
    <t>（全事業平均）自己収入比率</t>
    <rPh sb="1" eb="2">
      <t>ゼン</t>
    </rPh>
    <rPh sb="2" eb="4">
      <t>ジギョウ</t>
    </rPh>
    <rPh sb="4" eb="6">
      <t>ヘイキン</t>
    </rPh>
    <rPh sb="7" eb="9">
      <t>ジコ</t>
    </rPh>
    <rPh sb="9" eb="11">
      <t>シュウニュウ</t>
    </rPh>
    <rPh sb="11" eb="13">
      <t>ヒリツ</t>
    </rPh>
    <phoneticPr fontId="2"/>
  </si>
  <si>
    <t>間接コスト率</t>
    <rPh sb="0" eb="2">
      <t>カンセツ</t>
    </rPh>
    <rPh sb="5" eb="6">
      <t>リツ</t>
    </rPh>
    <phoneticPr fontId="2"/>
  </si>
  <si>
    <t>（全事業平均）間接コスト率</t>
    <rPh sb="1" eb="4">
      <t>ゼンジギョウ</t>
    </rPh>
    <rPh sb="4" eb="6">
      <t>ヘイキン</t>
    </rPh>
    <rPh sb="7" eb="9">
      <t>カンセツ</t>
    </rPh>
    <rPh sb="12" eb="13">
      <t>リツ</t>
    </rPh>
    <phoneticPr fontId="2"/>
  </si>
  <si>
    <t>国民１人当たりコスト</t>
    <rPh sb="0" eb="2">
      <t>コクミン</t>
    </rPh>
    <rPh sb="2" eb="4">
      <t>ヒトリ</t>
    </rPh>
    <rPh sb="4" eb="5">
      <t>ア</t>
    </rPh>
    <phoneticPr fontId="2"/>
  </si>
  <si>
    <t>（全事業平均）国民１人当たりコスト</t>
    <rPh sb="1" eb="4">
      <t>ゼンジギョウ</t>
    </rPh>
    <rPh sb="4" eb="6">
      <t>ヘイキン</t>
    </rPh>
    <rPh sb="7" eb="9">
      <t>コクミン</t>
    </rPh>
    <rPh sb="10" eb="11">
      <t>ヒト</t>
    </rPh>
    <rPh sb="11" eb="12">
      <t>ア</t>
    </rPh>
    <phoneticPr fontId="2"/>
  </si>
  <si>
    <t>１日当たりコスト</t>
    <rPh sb="1" eb="2">
      <t>ニチ</t>
    </rPh>
    <rPh sb="2" eb="3">
      <t>ア</t>
    </rPh>
    <phoneticPr fontId="2"/>
  </si>
  <si>
    <t>（全事業平均）１日当たりコスト</t>
    <rPh sb="1" eb="4">
      <t>ゼンジギョウ</t>
    </rPh>
    <rPh sb="4" eb="6">
      <t>ヘイキン</t>
    </rPh>
    <rPh sb="8" eb="9">
      <t>ニチ</t>
    </rPh>
    <rPh sb="9" eb="10">
      <t>ア</t>
    </rPh>
    <phoneticPr fontId="2"/>
  </si>
  <si>
    <t>職員１人当たりコスト</t>
    <rPh sb="0" eb="2">
      <t>ショクイン</t>
    </rPh>
    <rPh sb="3" eb="4">
      <t>ヒト</t>
    </rPh>
    <rPh sb="4" eb="5">
      <t>ア</t>
    </rPh>
    <phoneticPr fontId="2"/>
  </si>
  <si>
    <t>（全事業平均）職員１人当たりコスト</t>
    <rPh sb="1" eb="4">
      <t>ゼンジギョウ</t>
    </rPh>
    <rPh sb="4" eb="6">
      <t>ヘイキン</t>
    </rPh>
    <rPh sb="7" eb="9">
      <t>ショクイン</t>
    </rPh>
    <rPh sb="9" eb="11">
      <t>ヒトリ</t>
    </rPh>
    <rPh sb="10" eb="11">
      <t>ヒト</t>
    </rPh>
    <rPh sb="11" eb="12">
      <t>ア</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</si>
  <si>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</si>
  <si>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</si>
  <si>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</si>
  <si>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平成26年度決算分</t>
    <rPh sb="0" eb="2">
      <t>ヘイセイ</t>
    </rPh>
    <rPh sb="4" eb="6">
      <t>ネンド</t>
    </rPh>
    <rPh sb="6" eb="8">
      <t>ケッサン</t>
    </rPh>
    <rPh sb="8" eb="9">
      <t>ブン</t>
    </rPh>
    <phoneticPr fontId="2"/>
  </si>
  <si>
    <t>（円）</t>
    <rPh sb="1" eb="2">
      <t>エン</t>
    </rPh>
    <phoneticPr fontId="2"/>
  </si>
  <si>
    <t>（人）</t>
    <rPh sb="1" eb="2">
      <t>ヒト</t>
    </rPh>
    <phoneticPr fontId="2"/>
  </si>
  <si>
    <t>省庁名</t>
    <rPh sb="0" eb="3">
      <t>ショウチョウメイ</t>
    </rPh>
    <phoneticPr fontId="3"/>
  </si>
  <si>
    <t>事業・業務名</t>
    <rPh sb="0" eb="2">
      <t>ジギョウ</t>
    </rPh>
    <rPh sb="3" eb="5">
      <t>ギョウム</t>
    </rPh>
    <rPh sb="5" eb="6">
      <t>メイ</t>
    </rPh>
    <phoneticPr fontId="3"/>
  </si>
  <si>
    <t>事業類型</t>
    <rPh sb="0" eb="2">
      <t>ジギョウ</t>
    </rPh>
    <rPh sb="2" eb="4">
      <t>ルイケイ</t>
    </rPh>
    <phoneticPr fontId="2"/>
  </si>
  <si>
    <t>事業
形態</t>
    <rPh sb="0" eb="2">
      <t>ジギョウ</t>
    </rPh>
    <rPh sb="3" eb="5">
      <t>ケイタイ</t>
    </rPh>
    <phoneticPr fontId="2"/>
  </si>
  <si>
    <t>国民1人当たりコスト</t>
    <rPh sb="0" eb="2">
      <t>コクミン</t>
    </rPh>
    <rPh sb="3" eb="4">
      <t>ヒト</t>
    </rPh>
    <rPh sb="4" eb="5">
      <t>ア</t>
    </rPh>
    <phoneticPr fontId="2"/>
  </si>
  <si>
    <t>1日当たりコスト</t>
    <rPh sb="1" eb="2">
      <t>ヒ</t>
    </rPh>
    <rPh sb="2" eb="3">
      <t>ア</t>
    </rPh>
    <phoneticPr fontId="2"/>
  </si>
  <si>
    <t>職員1人当たりコスト</t>
    <rPh sb="0" eb="2">
      <t>ショクイン</t>
    </rPh>
    <rPh sb="3" eb="4">
      <t>ニン</t>
    </rPh>
    <rPh sb="4" eb="5">
      <t>ア</t>
    </rPh>
    <phoneticPr fontId="2"/>
  </si>
  <si>
    <t>直接行政サービス事業</t>
    <rPh sb="0" eb="2">
      <t>チョクセツ</t>
    </rPh>
    <rPh sb="2" eb="4">
      <t>ギョウセイ</t>
    </rPh>
    <rPh sb="8" eb="10">
      <t>ジギョウ</t>
    </rPh>
    <phoneticPr fontId="3"/>
  </si>
  <si>
    <t>直接型</t>
    <rPh sb="0" eb="2">
      <t>チョクセツ</t>
    </rPh>
    <rPh sb="2" eb="3">
      <t>ガタ</t>
    </rPh>
    <phoneticPr fontId="3"/>
  </si>
  <si>
    <t>内閣府</t>
    <rPh sb="0" eb="2">
      <t>ナイカク</t>
    </rPh>
    <rPh sb="2" eb="3">
      <t>フ</t>
    </rPh>
    <phoneticPr fontId="3"/>
  </si>
  <si>
    <t>間接型</t>
    <rPh sb="0" eb="3">
      <t>カンセツガタ</t>
    </rPh>
    <phoneticPr fontId="3"/>
  </si>
  <si>
    <t>総務省</t>
    <rPh sb="0" eb="3">
      <t>ソウムショウ</t>
    </rPh>
    <phoneticPr fontId="3"/>
  </si>
  <si>
    <t>平成27年度決算分</t>
    <rPh sb="0" eb="2">
      <t>ヘイセイ</t>
    </rPh>
    <rPh sb="4" eb="6">
      <t>ネンド</t>
    </rPh>
    <rPh sb="6" eb="8">
      <t>ケッサン</t>
    </rPh>
    <rPh sb="8" eb="9">
      <t>ブン</t>
    </rPh>
    <phoneticPr fontId="2"/>
  </si>
  <si>
    <t>平成28年度決算分</t>
    <rPh sb="0" eb="2">
      <t>ヘイセイ</t>
    </rPh>
    <rPh sb="4" eb="6">
      <t>ネンド</t>
    </rPh>
    <rPh sb="6" eb="8">
      <t>ケッサン</t>
    </rPh>
    <rPh sb="8" eb="9">
      <t>ブン</t>
    </rPh>
    <phoneticPr fontId="2"/>
  </si>
  <si>
    <t>←SUM</t>
    <phoneticPr fontId="2"/>
  </si>
  <si>
    <t>国におけるフルコスト等合計</t>
    <rPh sb="0" eb="1">
      <t>クニ</t>
    </rPh>
    <rPh sb="10" eb="11">
      <t>トウ</t>
    </rPh>
    <rPh sb="11" eb="13">
      <t>ゴウケイ</t>
    </rPh>
    <phoneticPr fontId="2"/>
  </si>
  <si>
    <t>独立行政法人等におけるフルコスト等合計</t>
    <rPh sb="0" eb="2">
      <t>ドクリツ</t>
    </rPh>
    <rPh sb="2" eb="4">
      <t>ギョウセイ</t>
    </rPh>
    <rPh sb="4" eb="6">
      <t>ホウジン</t>
    </rPh>
    <rPh sb="6" eb="7">
      <t>トウ</t>
    </rPh>
    <rPh sb="16" eb="17">
      <t>トウ</t>
    </rPh>
    <rPh sb="17" eb="19">
      <t>ゴウケイ</t>
    </rPh>
    <phoneticPr fontId="2"/>
  </si>
  <si>
    <t>←フルコスト等合計／現金の給付額</t>
    <rPh sb="6" eb="7">
      <t>トウ</t>
    </rPh>
    <rPh sb="7" eb="9">
      <t>ゴウケイ</t>
    </rPh>
    <rPh sb="10" eb="12">
      <t>ゲンキン</t>
    </rPh>
    <rPh sb="13" eb="16">
      <t>キュウフガク</t>
    </rPh>
    <phoneticPr fontId="2"/>
  </si>
  <si>
    <t>←フルコスト等合計／単位</t>
    <rPh sb="6" eb="7">
      <t>トウ</t>
    </rPh>
    <rPh sb="7" eb="9">
      <t>ゴウケイ</t>
    </rPh>
    <rPh sb="10" eb="12">
      <t>タンイ</t>
    </rPh>
    <phoneticPr fontId="2"/>
  </si>
  <si>
    <t>←フルコスト等合計／人口</t>
    <rPh sb="6" eb="7">
      <t>トウ</t>
    </rPh>
    <rPh sb="7" eb="9">
      <t>ゴウケイ</t>
    </rPh>
    <rPh sb="10" eb="12">
      <t>ジンコウ</t>
    </rPh>
    <phoneticPr fontId="2"/>
  </si>
  <si>
    <t>←フルコスト等合計／（国＋独法等の人員数）</t>
    <rPh sb="6" eb="7">
      <t>トウ</t>
    </rPh>
    <rPh sb="7" eb="9">
      <t>ゴウケイ</t>
    </rPh>
    <rPh sb="11" eb="12">
      <t>クニ</t>
    </rPh>
    <rPh sb="13" eb="15">
      <t>ドッポウ</t>
    </rPh>
    <rPh sb="15" eb="16">
      <t>トウ</t>
    </rPh>
    <rPh sb="17" eb="19">
      <t>ジンイン</t>
    </rPh>
    <rPh sb="19" eb="20">
      <t>スウ</t>
    </rPh>
    <phoneticPr fontId="2"/>
  </si>
  <si>
    <t>人にかかるコストの基礎データ</t>
    <rPh sb="0" eb="1">
      <t>ヒト</t>
    </rPh>
    <rPh sb="9" eb="11">
      <t>キソ</t>
    </rPh>
    <phoneticPr fontId="11"/>
  </si>
  <si>
    <r>
      <t>平成</t>
    </r>
    <r>
      <rPr>
        <sz val="12"/>
        <rFont val="Century"/>
        <family val="1"/>
      </rPr>
      <t>26</t>
    </r>
    <r>
      <rPr>
        <sz val="12"/>
        <rFont val="ＭＳ 明朝"/>
        <family val="1"/>
        <charset val="128"/>
      </rPr>
      <t>年度</t>
    </r>
  </si>
  <si>
    <r>
      <t>平成</t>
    </r>
    <r>
      <rPr>
        <sz val="12"/>
        <rFont val="Century"/>
        <family val="1"/>
      </rPr>
      <t>27</t>
    </r>
    <r>
      <rPr>
        <sz val="12"/>
        <rFont val="ＭＳ 明朝"/>
        <family val="1"/>
        <charset val="128"/>
      </rPr>
      <t>年度</t>
    </r>
  </si>
  <si>
    <r>
      <t>平成</t>
    </r>
    <r>
      <rPr>
        <sz val="12"/>
        <rFont val="Century"/>
        <family val="1"/>
      </rPr>
      <t>28</t>
    </r>
    <r>
      <rPr>
        <sz val="12"/>
        <rFont val="ＭＳ 明朝"/>
        <family val="1"/>
        <charset val="128"/>
      </rPr>
      <t>年度</t>
    </r>
  </si>
  <si>
    <t>人
件
費</t>
    <rPh sb="3" eb="4">
      <t>ケン</t>
    </rPh>
    <rPh sb="6" eb="7">
      <t>ヒ</t>
    </rPh>
    <phoneticPr fontId="11"/>
  </si>
  <si>
    <r>
      <rPr>
        <sz val="10.5"/>
        <rFont val="ＭＳ 明朝"/>
        <family val="1"/>
        <charset val="128"/>
      </rPr>
      <t>平均給与額＝平均給与月額×</t>
    </r>
    <r>
      <rPr>
        <sz val="10.5"/>
        <rFont val="Century"/>
        <family val="1"/>
      </rPr>
      <t>12</t>
    </r>
    <r>
      <rPr>
        <sz val="10.5"/>
        <rFont val="ＭＳ 明朝"/>
        <family val="1"/>
        <charset val="128"/>
      </rPr>
      <t>か月</t>
    </r>
    <phoneticPr fontId="11"/>
  </si>
  <si>
    <t>人件費に計上する期末・勤勉手当</t>
    <phoneticPr fontId="11"/>
  </si>
  <si>
    <t>(ⅰ)</t>
    <phoneticPr fontId="11"/>
  </si>
  <si>
    <r>
      <t>(</t>
    </r>
    <r>
      <rPr>
        <sz val="10.5"/>
        <rFont val="ＭＳ 明朝"/>
        <family val="1"/>
        <charset val="128"/>
      </rPr>
      <t>ⅱ</t>
    </r>
    <r>
      <rPr>
        <sz val="10.5"/>
        <rFont val="Century"/>
        <family val="1"/>
      </rPr>
      <t>)</t>
    </r>
    <r>
      <rPr>
        <sz val="10.5"/>
        <rFont val="ＭＳ 明朝"/>
        <family val="1"/>
        <charset val="128"/>
      </rPr>
      <t>退職給付引当金繰入額</t>
    </r>
    <rPh sb="3" eb="13">
      <t>タイショクキュウフヒキアテキンクリイレガク</t>
    </rPh>
    <phoneticPr fontId="11"/>
  </si>
  <si>
    <r>
      <t>(</t>
    </r>
    <r>
      <rPr>
        <sz val="10.5"/>
        <rFont val="ＭＳ 明朝"/>
        <family val="1"/>
        <charset val="128"/>
      </rPr>
      <t>ⅲ</t>
    </r>
    <r>
      <rPr>
        <sz val="10.5"/>
        <rFont val="Century"/>
        <family val="1"/>
      </rPr>
      <t>)</t>
    </r>
    <r>
      <rPr>
        <sz val="10.5"/>
        <rFont val="ＭＳ 明朝"/>
        <family val="1"/>
        <charset val="128"/>
      </rPr>
      <t>賞与引当金繰入額</t>
    </r>
    <phoneticPr fontId="11"/>
  </si>
  <si>
    <r>
      <t>平成</t>
    </r>
    <r>
      <rPr>
        <sz val="12"/>
        <rFont val="Century"/>
        <family val="1"/>
      </rPr>
      <t>29年度</t>
    </r>
    <r>
      <rPr>
        <sz val="12"/>
        <rFont val="ＭＳ 明朝"/>
        <family val="1"/>
        <charset val="128"/>
      </rPr>
      <t/>
    </r>
  </si>
  <si>
    <t>←国＋独立行政法人等</t>
    <rPh sb="1" eb="2">
      <t>クニ</t>
    </rPh>
    <rPh sb="3" eb="5">
      <t>ドクリツ</t>
    </rPh>
    <rPh sb="5" eb="7">
      <t>ギョウセイ</t>
    </rPh>
    <rPh sb="7" eb="9">
      <t>ホウジン</t>
    </rPh>
    <rPh sb="9" eb="10">
      <t>トウ</t>
    </rPh>
    <phoneticPr fontId="2"/>
  </si>
  <si>
    <t>←自己収入／フルコスト等合計</t>
    <rPh sb="1" eb="3">
      <t>ジコ</t>
    </rPh>
    <rPh sb="3" eb="5">
      <t>シュウニュウ</t>
    </rPh>
    <rPh sb="11" eb="12">
      <t>トウ</t>
    </rPh>
    <rPh sb="12" eb="14">
      <t>ゴウケイ</t>
    </rPh>
    <phoneticPr fontId="2"/>
  </si>
  <si>
    <t>査定案</t>
    <rPh sb="0" eb="2">
      <t>サテイ</t>
    </rPh>
    <rPh sb="2" eb="3">
      <t>アン</t>
    </rPh>
    <phoneticPr fontId="2"/>
  </si>
  <si>
    <t>うち、人にかかるコスト</t>
    <rPh sb="3" eb="4">
      <t>ヒト</t>
    </rPh>
    <phoneticPr fontId="2"/>
  </si>
  <si>
    <t>うち、事業コスト</t>
    <rPh sb="3" eb="5">
      <t>ジギョウ</t>
    </rPh>
    <phoneticPr fontId="2"/>
  </si>
  <si>
    <t>うち、国の職員数</t>
    <rPh sb="3" eb="4">
      <t>クニ</t>
    </rPh>
    <rPh sb="5" eb="8">
      <t>ショクインスウ</t>
    </rPh>
    <phoneticPr fontId="2"/>
  </si>
  <si>
    <t>うち、独法等の職員数</t>
    <rPh sb="3" eb="5">
      <t>ドッポウ</t>
    </rPh>
    <rPh sb="5" eb="6">
      <t>トウ</t>
    </rPh>
    <rPh sb="7" eb="9">
      <t>ショクイン</t>
    </rPh>
    <rPh sb="9" eb="10">
      <t>スウ</t>
    </rPh>
    <phoneticPr fontId="2"/>
  </si>
  <si>
    <t>人件費比率</t>
    <rPh sb="0" eb="3">
      <t>ジンケンヒ</t>
    </rPh>
    <rPh sb="3" eb="5">
      <t>ヒリツ</t>
    </rPh>
    <phoneticPr fontId="2"/>
  </si>
  <si>
    <t>うち、物にかかるコスト等</t>
    <rPh sb="3" eb="4">
      <t>モノ</t>
    </rPh>
    <rPh sb="11" eb="12">
      <t>トウ</t>
    </rPh>
    <phoneticPr fontId="2"/>
  </si>
  <si>
    <t>B</t>
    <phoneticPr fontId="2"/>
  </si>
  <si>
    <t>C</t>
    <phoneticPr fontId="2"/>
  </si>
  <si>
    <t>D = C - A</t>
    <phoneticPr fontId="2"/>
  </si>
  <si>
    <t>E = C - B</t>
    <phoneticPr fontId="2"/>
  </si>
  <si>
    <t>F</t>
    <phoneticPr fontId="2"/>
  </si>
  <si>
    <t>比較対象事業</t>
    <rPh sb="0" eb="2">
      <t>ヒカク</t>
    </rPh>
    <rPh sb="2" eb="4">
      <t>タイショウ</t>
    </rPh>
    <rPh sb="4" eb="6">
      <t>ジギョウ</t>
    </rPh>
    <phoneticPr fontId="2"/>
  </si>
  <si>
    <t>単位：</t>
    <rPh sb="0" eb="2">
      <t>タンイ</t>
    </rPh>
    <phoneticPr fontId="2"/>
  </si>
  <si>
    <t>（単位：人、円）</t>
    <rPh sb="1" eb="3">
      <t>タンイ</t>
    </rPh>
    <rPh sb="4" eb="5">
      <t>ニン</t>
    </rPh>
    <rPh sb="6" eb="7">
      <t>エン</t>
    </rPh>
    <phoneticPr fontId="2"/>
  </si>
  <si>
    <t>国におけるフルコスト等</t>
    <rPh sb="0" eb="1">
      <t>クニ</t>
    </rPh>
    <rPh sb="10" eb="11">
      <t>トウ</t>
    </rPh>
    <phoneticPr fontId="2"/>
  </si>
  <si>
    <t>独法等におけるフルコスト等</t>
    <rPh sb="0" eb="2">
      <t>ドッポウ</t>
    </rPh>
    <rPh sb="2" eb="3">
      <t>トウ</t>
    </rPh>
    <rPh sb="12" eb="13">
      <t>トウ</t>
    </rPh>
    <phoneticPr fontId="2"/>
  </si>
  <si>
    <t>フルコスト等合計（国＋独法等）</t>
    <rPh sb="5" eb="6">
      <t>トウ</t>
    </rPh>
    <rPh sb="6" eb="8">
      <t>ゴウケイ</t>
    </rPh>
    <rPh sb="9" eb="10">
      <t>クニ</t>
    </rPh>
    <rPh sb="11" eb="13">
      <t>ドッポウ</t>
    </rPh>
    <rPh sb="13" eb="14">
      <t>トウ</t>
    </rPh>
    <phoneticPr fontId="2"/>
  </si>
  <si>
    <t>（単位：円）</t>
    <rPh sb="1" eb="3">
      <t>タンイ</t>
    </rPh>
    <rPh sb="4" eb="5">
      <t>エン</t>
    </rPh>
    <phoneticPr fontId="2"/>
  </si>
  <si>
    <t>（単位：円、％）</t>
    <rPh sb="1" eb="3">
      <t>タンイ</t>
    </rPh>
    <rPh sb="4" eb="5">
      <t>エン</t>
    </rPh>
    <phoneticPr fontId="2"/>
  </si>
  <si>
    <t>（単位：●●、円）</t>
    <rPh sb="1" eb="3">
      <t>タンイ</t>
    </rPh>
    <rPh sb="7" eb="8">
      <t>エン</t>
    </rPh>
    <phoneticPr fontId="2"/>
  </si>
  <si>
    <t>一般管理費等のうち、人件費</t>
    <rPh sb="0" eb="2">
      <t>イッパン</t>
    </rPh>
    <rPh sb="2" eb="5">
      <t>カンリヒ</t>
    </rPh>
    <rPh sb="5" eb="6">
      <t>トウ</t>
    </rPh>
    <rPh sb="10" eb="13">
      <t>ジンケンヒ</t>
    </rPh>
    <phoneticPr fontId="2"/>
  </si>
  <si>
    <t>一般管理費のうち、人件費以外</t>
    <rPh sb="0" eb="2">
      <t>イッパン</t>
    </rPh>
    <rPh sb="2" eb="5">
      <t>カンリヒ</t>
    </rPh>
    <rPh sb="9" eb="12">
      <t>ジンケンヒ</t>
    </rPh>
    <rPh sb="12" eb="14">
      <t>イガイ</t>
    </rPh>
    <phoneticPr fontId="2"/>
  </si>
  <si>
    <t>←自動入力</t>
    <rPh sb="1" eb="3">
      <t>ジドウ</t>
    </rPh>
    <rPh sb="3" eb="5">
      <t>ニュウリョク</t>
    </rPh>
    <phoneticPr fontId="2"/>
  </si>
  <si>
    <t>復興庁</t>
    <rPh sb="0" eb="2">
      <t>フッコウ</t>
    </rPh>
    <rPh sb="2" eb="3">
      <t>チョウ</t>
    </rPh>
    <phoneticPr fontId="2"/>
  </si>
  <si>
    <t>資源配分事業</t>
    <rPh sb="0" eb="2">
      <t>シゲン</t>
    </rPh>
    <rPh sb="2" eb="4">
      <t>ハイブン</t>
    </rPh>
    <rPh sb="4" eb="6">
      <t>ジギョウ</t>
    </rPh>
    <phoneticPr fontId="2"/>
  </si>
  <si>
    <t>総務省</t>
    <rPh sb="0" eb="3">
      <t>ソウムショウ</t>
    </rPh>
    <phoneticPr fontId="2"/>
  </si>
  <si>
    <t>地方への移住・交流の推進事業</t>
    <rPh sb="0" eb="2">
      <t>チホウ</t>
    </rPh>
    <rPh sb="4" eb="6">
      <t>イジュウ</t>
    </rPh>
    <rPh sb="7" eb="9">
      <t>コウリュウ</t>
    </rPh>
    <rPh sb="10" eb="12">
      <t>スイシン</t>
    </rPh>
    <rPh sb="12" eb="14">
      <t>ジギョウ</t>
    </rPh>
    <phoneticPr fontId="2"/>
  </si>
  <si>
    <t>恩給支給事業</t>
    <rPh sb="0" eb="2">
      <t>オンキュウ</t>
    </rPh>
    <rPh sb="2" eb="4">
      <t>シキュウ</t>
    </rPh>
    <rPh sb="4" eb="6">
      <t>ジギョウ</t>
    </rPh>
    <phoneticPr fontId="2"/>
  </si>
  <si>
    <t>消防庁危機管理機能の充実・確保事業</t>
    <rPh sb="0" eb="3">
      <t>ショウボウチョウ</t>
    </rPh>
    <rPh sb="3" eb="5">
      <t>キキ</t>
    </rPh>
    <rPh sb="5" eb="7">
      <t>カンリ</t>
    </rPh>
    <rPh sb="7" eb="9">
      <t>キノウ</t>
    </rPh>
    <rPh sb="10" eb="12">
      <t>ジュウジツ</t>
    </rPh>
    <rPh sb="13" eb="15">
      <t>カクホ</t>
    </rPh>
    <rPh sb="15" eb="17">
      <t>ジギョウ</t>
    </rPh>
    <phoneticPr fontId="2"/>
  </si>
  <si>
    <t>統計調査の実施等事業（経常調査等）</t>
    <rPh sb="0" eb="2">
      <t>トウケイ</t>
    </rPh>
    <rPh sb="2" eb="4">
      <t>チョウサ</t>
    </rPh>
    <rPh sb="5" eb="7">
      <t>ジッシ</t>
    </rPh>
    <rPh sb="7" eb="8">
      <t>トウ</t>
    </rPh>
    <rPh sb="8" eb="10">
      <t>ジギョウ</t>
    </rPh>
    <rPh sb="11" eb="13">
      <t>ケイジョウ</t>
    </rPh>
    <rPh sb="13" eb="15">
      <t>チョウサ</t>
    </rPh>
    <rPh sb="15" eb="16">
      <t>トウ</t>
    </rPh>
    <phoneticPr fontId="2"/>
  </si>
  <si>
    <t>法務省</t>
    <rPh sb="0" eb="3">
      <t>ホウムショウ</t>
    </rPh>
    <phoneticPr fontId="2"/>
  </si>
  <si>
    <t>矯正業務</t>
    <rPh sb="0" eb="2">
      <t>キョウセイ</t>
    </rPh>
    <rPh sb="2" eb="4">
      <t>ギョウム</t>
    </rPh>
    <phoneticPr fontId="2"/>
  </si>
  <si>
    <t>訟務業務</t>
    <rPh sb="0" eb="2">
      <t>ショウム</t>
    </rPh>
    <rPh sb="2" eb="4">
      <t>ギョウム</t>
    </rPh>
    <phoneticPr fontId="2"/>
  </si>
  <si>
    <t>犯罪被害給付金事業</t>
    <rPh sb="0" eb="2">
      <t>ハンザイ</t>
    </rPh>
    <rPh sb="2" eb="4">
      <t>ヒガイ</t>
    </rPh>
    <rPh sb="4" eb="6">
      <t>キュウフ</t>
    </rPh>
    <rPh sb="6" eb="7">
      <t>キン</t>
    </rPh>
    <rPh sb="7" eb="9">
      <t>ジギョウ</t>
    </rPh>
    <phoneticPr fontId="2"/>
  </si>
  <si>
    <t>外務省</t>
    <rPh sb="0" eb="3">
      <t>ガイムショウ</t>
    </rPh>
    <phoneticPr fontId="2"/>
  </si>
  <si>
    <t>財務省</t>
    <rPh sb="0" eb="3">
      <t>ザイムショウ</t>
    </rPh>
    <phoneticPr fontId="2"/>
  </si>
  <si>
    <t>国税局電話相談センター運営事業</t>
    <rPh sb="0" eb="3">
      <t>コクゼイキョク</t>
    </rPh>
    <rPh sb="3" eb="5">
      <t>デンワ</t>
    </rPh>
    <rPh sb="5" eb="7">
      <t>ソウダン</t>
    </rPh>
    <rPh sb="11" eb="13">
      <t>ウンエイ</t>
    </rPh>
    <rPh sb="13" eb="15">
      <t>ジギョウ</t>
    </rPh>
    <phoneticPr fontId="2"/>
  </si>
  <si>
    <t>通関業務</t>
    <rPh sb="0" eb="2">
      <t>ツウカン</t>
    </rPh>
    <rPh sb="2" eb="4">
      <t>ギョウム</t>
    </rPh>
    <phoneticPr fontId="2"/>
  </si>
  <si>
    <t>輸出入通関業務</t>
    <rPh sb="0" eb="3">
      <t>ユシュツニュウ</t>
    </rPh>
    <rPh sb="3" eb="5">
      <t>ツウカン</t>
    </rPh>
    <rPh sb="5" eb="7">
      <t>ギョウム</t>
    </rPh>
    <phoneticPr fontId="2"/>
  </si>
  <si>
    <t>文部科学省</t>
    <rPh sb="0" eb="2">
      <t>モンブ</t>
    </rPh>
    <rPh sb="2" eb="5">
      <t>カガクショウ</t>
    </rPh>
    <phoneticPr fontId="2"/>
  </si>
  <si>
    <t>奨学金貸与事業</t>
    <rPh sb="0" eb="3">
      <t>ショウガクキン</t>
    </rPh>
    <rPh sb="3" eb="5">
      <t>タイヨ</t>
    </rPh>
    <rPh sb="5" eb="7">
      <t>ジギョウ</t>
    </rPh>
    <phoneticPr fontId="2"/>
  </si>
  <si>
    <t>厚生労働省</t>
    <rPh sb="0" eb="2">
      <t>コウセイ</t>
    </rPh>
    <rPh sb="2" eb="5">
      <t>ロウドウショウ</t>
    </rPh>
    <phoneticPr fontId="2"/>
  </si>
  <si>
    <t>入国者に対する検疫業務</t>
    <rPh sb="0" eb="3">
      <t>ニュウコクシャ</t>
    </rPh>
    <rPh sb="4" eb="5">
      <t>タイ</t>
    </rPh>
    <rPh sb="7" eb="9">
      <t>ケンエキ</t>
    </rPh>
    <rPh sb="9" eb="11">
      <t>ギョウム</t>
    </rPh>
    <phoneticPr fontId="2"/>
  </si>
  <si>
    <t>労災保険給付業務</t>
    <rPh sb="0" eb="2">
      <t>ロウサイ</t>
    </rPh>
    <rPh sb="2" eb="4">
      <t>ホケン</t>
    </rPh>
    <rPh sb="4" eb="6">
      <t>キュウフ</t>
    </rPh>
    <rPh sb="6" eb="8">
      <t>ギョウム</t>
    </rPh>
    <phoneticPr fontId="2"/>
  </si>
  <si>
    <t>失業等給付関係業務</t>
    <rPh sb="0" eb="2">
      <t>シツギョウ</t>
    </rPh>
    <rPh sb="2" eb="3">
      <t>トウ</t>
    </rPh>
    <rPh sb="3" eb="5">
      <t>キュウフ</t>
    </rPh>
    <rPh sb="5" eb="7">
      <t>カンケイ</t>
    </rPh>
    <rPh sb="7" eb="9">
      <t>ギョウム</t>
    </rPh>
    <phoneticPr fontId="2"/>
  </si>
  <si>
    <t>骨髄移植対策事業</t>
    <rPh sb="0" eb="2">
      <t>コツズイ</t>
    </rPh>
    <rPh sb="2" eb="4">
      <t>イショク</t>
    </rPh>
    <rPh sb="4" eb="6">
      <t>タイサク</t>
    </rPh>
    <rPh sb="6" eb="8">
      <t>ジギョウ</t>
    </rPh>
    <phoneticPr fontId="2"/>
  </si>
  <si>
    <t>農林水産省</t>
    <rPh sb="0" eb="2">
      <t>ノウリン</t>
    </rPh>
    <rPh sb="2" eb="5">
      <t>スイサンショウ</t>
    </rPh>
    <phoneticPr fontId="2"/>
  </si>
  <si>
    <t>経済産業省</t>
    <rPh sb="0" eb="2">
      <t>ケイザイ</t>
    </rPh>
    <rPh sb="2" eb="5">
      <t>サンギョウショウ</t>
    </rPh>
    <phoneticPr fontId="2"/>
  </si>
  <si>
    <t>弁理士試験業務</t>
    <rPh sb="0" eb="3">
      <t>ベンリシ</t>
    </rPh>
    <rPh sb="3" eb="5">
      <t>シケン</t>
    </rPh>
    <rPh sb="5" eb="7">
      <t>ギョウム</t>
    </rPh>
    <phoneticPr fontId="2"/>
  </si>
  <si>
    <t>国土交通省</t>
    <rPh sb="0" eb="2">
      <t>コクド</t>
    </rPh>
    <rPh sb="2" eb="5">
      <t>コウツウショウ</t>
    </rPh>
    <phoneticPr fontId="2"/>
  </si>
  <si>
    <t>防災情報提供センター業務</t>
    <rPh sb="0" eb="2">
      <t>ボウサイ</t>
    </rPh>
    <rPh sb="2" eb="4">
      <t>ジョウホウ</t>
    </rPh>
    <rPh sb="4" eb="6">
      <t>テイキョウ</t>
    </rPh>
    <rPh sb="10" eb="12">
      <t>ギョウム</t>
    </rPh>
    <phoneticPr fontId="2"/>
  </si>
  <si>
    <t>環境省</t>
    <rPh sb="0" eb="3">
      <t>カンキョウショウ</t>
    </rPh>
    <phoneticPr fontId="2"/>
  </si>
  <si>
    <t>環境研究総合推進費業務</t>
    <rPh sb="0" eb="2">
      <t>カンキョウ</t>
    </rPh>
    <rPh sb="2" eb="4">
      <t>ケンキュウ</t>
    </rPh>
    <rPh sb="4" eb="6">
      <t>ソウゴウ</t>
    </rPh>
    <rPh sb="6" eb="8">
      <t>スイシン</t>
    </rPh>
    <rPh sb="8" eb="9">
      <t>ヒ</t>
    </rPh>
    <rPh sb="9" eb="11">
      <t>ギョウム</t>
    </rPh>
    <phoneticPr fontId="2"/>
  </si>
  <si>
    <t>核燃料取扱主任者試験業務</t>
    <rPh sb="0" eb="1">
      <t>カク</t>
    </rPh>
    <rPh sb="1" eb="3">
      <t>ネンリョウ</t>
    </rPh>
    <rPh sb="3" eb="4">
      <t>ト</t>
    </rPh>
    <rPh sb="4" eb="5">
      <t>アツカ</t>
    </rPh>
    <rPh sb="5" eb="8">
      <t>シュニンシャ</t>
    </rPh>
    <rPh sb="8" eb="10">
      <t>シケン</t>
    </rPh>
    <rPh sb="10" eb="12">
      <t>ギョウム</t>
    </rPh>
    <phoneticPr fontId="2"/>
  </si>
  <si>
    <t>防衛省</t>
    <rPh sb="0" eb="2">
      <t>ボウエイ</t>
    </rPh>
    <rPh sb="2" eb="3">
      <t>ショウ</t>
    </rPh>
    <phoneticPr fontId="2"/>
  </si>
  <si>
    <t>事業形態</t>
    <rPh sb="0" eb="2">
      <t>ジギョウ</t>
    </rPh>
    <rPh sb="2" eb="4">
      <t>ケイタイ</t>
    </rPh>
    <phoneticPr fontId="2"/>
  </si>
  <si>
    <t>（ⅰ）×人員数</t>
    <rPh sb="4" eb="6">
      <t>ジンイン</t>
    </rPh>
    <rPh sb="6" eb="7">
      <t>スウ</t>
    </rPh>
    <phoneticPr fontId="2"/>
  </si>
  <si>
    <t>（ⅱ）×人員数</t>
    <rPh sb="4" eb="6">
      <t>ジンイン</t>
    </rPh>
    <rPh sb="6" eb="7">
      <t>スウ</t>
    </rPh>
    <phoneticPr fontId="2"/>
  </si>
  <si>
    <t>（ⅲ）×人員数</t>
    <rPh sb="4" eb="6">
      <t>ジンイン</t>
    </rPh>
    <rPh sb="6" eb="7">
      <t>スウ</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</si>
  <si>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</si>
  <si>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</si>
  <si>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</si>
  <si>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合計（人にかかるコスト）</t>
    <rPh sb="0" eb="2">
      <t>ゴウケイ</t>
    </rPh>
    <rPh sb="3" eb="4">
      <t>ヒト</t>
    </rPh>
    <phoneticPr fontId="2"/>
  </si>
  <si>
    <t>事業類型（事業形態）</t>
    <rPh sb="0" eb="2">
      <t>ジギョウ</t>
    </rPh>
    <rPh sb="2" eb="4">
      <t>ルイケイ</t>
    </rPh>
    <rPh sb="5" eb="7">
      <t>ジギョウ</t>
    </rPh>
    <rPh sb="7" eb="9">
      <t>ケイタイ</t>
    </rPh>
    <phoneticPr fontId="2"/>
  </si>
  <si>
    <t>うち、人件費</t>
    <rPh sb="3" eb="6">
      <t>ジンケンヒ</t>
    </rPh>
    <phoneticPr fontId="2"/>
  </si>
  <si>
    <t>（その他）</t>
    <rPh sb="3" eb="4">
      <t>タ</t>
    </rPh>
    <phoneticPr fontId="2"/>
  </si>
  <si>
    <t>単位①（個別事業ごと）</t>
    <rPh sb="0" eb="2">
      <t>タンイ</t>
    </rPh>
    <rPh sb="4" eb="6">
      <t>コベツ</t>
    </rPh>
    <rPh sb="6" eb="8">
      <t>ジギョウ</t>
    </rPh>
    <phoneticPr fontId="2"/>
  </si>
  <si>
    <t>単位②（個別事業ごと）</t>
    <rPh sb="0" eb="2">
      <t>タンイ</t>
    </rPh>
    <rPh sb="4" eb="6">
      <t>コベツ</t>
    </rPh>
    <rPh sb="6" eb="8">
      <t>ジギョウ</t>
    </rPh>
    <phoneticPr fontId="2"/>
  </si>
  <si>
    <t>単位①（値）</t>
    <rPh sb="0" eb="2">
      <t>タンイ</t>
    </rPh>
    <rPh sb="4" eb="5">
      <t>アタイ</t>
    </rPh>
    <phoneticPr fontId="2"/>
  </si>
  <si>
    <t>単位②（値）</t>
    <rPh sb="0" eb="2">
      <t>タンイ</t>
    </rPh>
    <rPh sb="4" eb="5">
      <t>アタイ</t>
    </rPh>
    <phoneticPr fontId="2"/>
  </si>
  <si>
    <t>単位③（個別事業ごと）</t>
    <rPh sb="0" eb="2">
      <t>タンイ</t>
    </rPh>
    <rPh sb="4" eb="6">
      <t>コベツ</t>
    </rPh>
    <rPh sb="6" eb="8">
      <t>ジギョウ</t>
    </rPh>
    <phoneticPr fontId="2"/>
  </si>
  <si>
    <t>単位③（値）</t>
    <rPh sb="0" eb="2">
      <t>タンイ</t>
    </rPh>
    <rPh sb="4" eb="5">
      <t>アタイ</t>
    </rPh>
    <phoneticPr fontId="2"/>
  </si>
  <si>
    <t>単位④（個別事業ごと）</t>
    <rPh sb="0" eb="2">
      <t>タンイ</t>
    </rPh>
    <rPh sb="4" eb="6">
      <t>コベツ</t>
    </rPh>
    <rPh sb="6" eb="8">
      <t>ジギョウ</t>
    </rPh>
    <phoneticPr fontId="2"/>
  </si>
  <si>
    <t>単位④（値）</t>
    <rPh sb="0" eb="2">
      <t>タンイ</t>
    </rPh>
    <rPh sb="4" eb="5">
      <t>アタイ</t>
    </rPh>
    <phoneticPr fontId="2"/>
  </si>
  <si>
    <t>単位当たりコスト①</t>
    <rPh sb="0" eb="2">
      <t>タンイ</t>
    </rPh>
    <rPh sb="2" eb="3">
      <t>ア</t>
    </rPh>
    <phoneticPr fontId="2"/>
  </si>
  <si>
    <t>単位当たりコスト②</t>
    <rPh sb="0" eb="2">
      <t>タンイ</t>
    </rPh>
    <rPh sb="2" eb="3">
      <t>ア</t>
    </rPh>
    <phoneticPr fontId="2"/>
  </si>
  <si>
    <t>単位当たりコスト③</t>
    <rPh sb="0" eb="2">
      <t>タンイ</t>
    </rPh>
    <rPh sb="2" eb="3">
      <t>ア</t>
    </rPh>
    <phoneticPr fontId="2"/>
  </si>
  <si>
    <t>単位当たりコスト④</t>
    <rPh sb="0" eb="2">
      <t>タンイ</t>
    </rPh>
    <rPh sb="2" eb="3">
      <t>ア</t>
    </rPh>
    <phoneticPr fontId="2"/>
  </si>
  <si>
    <t>単位①</t>
    <rPh sb="0" eb="2">
      <t>タンイ</t>
    </rPh>
    <phoneticPr fontId="2"/>
  </si>
  <si>
    <t>単位②</t>
    <rPh sb="0" eb="2">
      <t>タンイ</t>
    </rPh>
    <phoneticPr fontId="2"/>
  </si>
  <si>
    <t>単位③</t>
    <rPh sb="0" eb="2">
      <t>タンイ</t>
    </rPh>
    <phoneticPr fontId="2"/>
  </si>
  <si>
    <t>単位④</t>
    <rPh sb="0" eb="2">
      <t>タンイ</t>
    </rPh>
    <phoneticPr fontId="2"/>
  </si>
  <si>
    <t>自己収入比率</t>
    <rPh sb="0" eb="2">
      <t>ジコ</t>
    </rPh>
    <rPh sb="2" eb="4">
      <t>シュウニュウ</t>
    </rPh>
    <rPh sb="4" eb="6">
      <t>ヒリツ</t>
    </rPh>
    <phoneticPr fontId="2"/>
  </si>
  <si>
    <t>間接コスト率</t>
    <rPh sb="0" eb="2">
      <t>カンセツ</t>
    </rPh>
    <rPh sb="5" eb="6">
      <t>リツ</t>
    </rPh>
    <phoneticPr fontId="2"/>
  </si>
  <si>
    <t>事業類型</t>
    <rPh sb="0" eb="2">
      <t>ジギョウ</t>
    </rPh>
    <rPh sb="2" eb="4">
      <t>ルイケイ</t>
    </rPh>
    <phoneticPr fontId="2"/>
  </si>
  <si>
    <t>直接行政サービス事業（直接型）</t>
  </si>
  <si>
    <t>直接行政サービス事業（間接型）</t>
  </si>
  <si>
    <t>資源配分事業（直接型）</t>
  </si>
  <si>
    <t>資源配分事業（間接型）</t>
  </si>
  <si>
    <t>直接行政サービス事業（間接型）</t>
    <rPh sb="11" eb="13">
      <t>カンセツ</t>
    </rPh>
    <phoneticPr fontId="2"/>
  </si>
  <si>
    <t>資源配分事業（直接型）</t>
    <rPh sb="7" eb="9">
      <t>チョクセツ</t>
    </rPh>
    <phoneticPr fontId="2"/>
  </si>
  <si>
    <t>資源配分事業（間接型）</t>
    <rPh sb="7" eb="9">
      <t>カンセツ</t>
    </rPh>
    <phoneticPr fontId="2"/>
  </si>
  <si>
    <t>直接行政サービス事業（直接型）</t>
    <phoneticPr fontId="2"/>
  </si>
  <si>
    <t>人件費比率</t>
    <rPh sb="0" eb="3">
      <t>ジンケンヒ</t>
    </rPh>
    <rPh sb="3" eb="5">
      <t>ヒリツ</t>
    </rPh>
    <phoneticPr fontId="2"/>
  </si>
  <si>
    <t>自動入力</t>
    <rPh sb="0" eb="2">
      <t>ジドウ</t>
    </rPh>
    <rPh sb="2" eb="4">
      <t>ニュウリョク</t>
    </rPh>
    <phoneticPr fontId="2"/>
  </si>
  <si>
    <t>フルコスト情報の見方</t>
    <rPh sb="5" eb="7">
      <t>ジョウホウ</t>
    </rPh>
    <rPh sb="8" eb="10">
      <t>ミカタ</t>
    </rPh>
    <phoneticPr fontId="2"/>
  </si>
  <si>
    <t>意義</t>
    <rPh sb="0" eb="2">
      <t>イギ</t>
    </rPh>
    <phoneticPr fontId="2"/>
  </si>
  <si>
    <t>見方</t>
    <rPh sb="0" eb="2">
      <t>ミカタ</t>
    </rPh>
    <phoneticPr fontId="2"/>
  </si>
  <si>
    <t>留意点</t>
    <rPh sb="0" eb="3">
      <t>リュウイテン</t>
    </rPh>
    <phoneticPr fontId="2"/>
  </si>
  <si>
    <t>：</t>
    <phoneticPr fontId="2"/>
  </si>
  <si>
    <t>事業の効率性・適正性を表す指標を使い、タテ比較（経年比較）、ヨコ比較（事業間比較）でみる</t>
    <rPh sb="0" eb="2">
      <t>ジギョウ</t>
    </rPh>
    <rPh sb="3" eb="6">
      <t>コウリツセイ</t>
    </rPh>
    <rPh sb="7" eb="10">
      <t>テキセイセイ</t>
    </rPh>
    <rPh sb="11" eb="12">
      <t>アラワ</t>
    </rPh>
    <rPh sb="13" eb="15">
      <t>シヒョウ</t>
    </rPh>
    <rPh sb="16" eb="17">
      <t>ツカ</t>
    </rPh>
    <rPh sb="21" eb="23">
      <t>ヒカク</t>
    </rPh>
    <rPh sb="24" eb="26">
      <t>ケイネン</t>
    </rPh>
    <rPh sb="26" eb="28">
      <t>ヒカク</t>
    </rPh>
    <rPh sb="32" eb="34">
      <t>ヒカク</t>
    </rPh>
    <rPh sb="35" eb="37">
      <t>ジギョウ</t>
    </rPh>
    <rPh sb="37" eb="38">
      <t>カン</t>
    </rPh>
    <rPh sb="38" eb="40">
      <t>ヒカク</t>
    </rPh>
    <phoneticPr fontId="2"/>
  </si>
  <si>
    <t>事例やデータが少ないため、各指標の適正値・平均値が分からない。</t>
    <rPh sb="0" eb="2">
      <t>ジレイ</t>
    </rPh>
    <rPh sb="7" eb="8">
      <t>スク</t>
    </rPh>
    <rPh sb="13" eb="14">
      <t>カク</t>
    </rPh>
    <rPh sb="14" eb="16">
      <t>シヒョウ</t>
    </rPh>
    <rPh sb="17" eb="19">
      <t>テキセイ</t>
    </rPh>
    <rPh sb="19" eb="20">
      <t>チ</t>
    </rPh>
    <rPh sb="21" eb="24">
      <t>ヘイキンチ</t>
    </rPh>
    <rPh sb="25" eb="26">
      <t>ワ</t>
    </rPh>
    <phoneticPr fontId="2"/>
  </si>
  <si>
    <t>事業の「規模感」や「効率性・適正性」を表す指標</t>
    <rPh sb="0" eb="2">
      <t>ジギョウ</t>
    </rPh>
    <rPh sb="4" eb="6">
      <t>キボ</t>
    </rPh>
    <rPh sb="6" eb="7">
      <t>カン</t>
    </rPh>
    <rPh sb="10" eb="13">
      <t>コウリツセイ</t>
    </rPh>
    <rPh sb="14" eb="17">
      <t>テキセイセイ</t>
    </rPh>
    <rPh sb="19" eb="20">
      <t>アラワ</t>
    </rPh>
    <rPh sb="21" eb="23">
      <t>シヒョウ</t>
    </rPh>
    <phoneticPr fontId="2"/>
  </si>
  <si>
    <t>事業の必要性の観点から、フルコストが増加している可能性があること、</t>
    <rPh sb="0" eb="2">
      <t>ジギョウ</t>
    </rPh>
    <rPh sb="3" eb="6">
      <t>ヒツヨウセイ</t>
    </rPh>
    <rPh sb="7" eb="9">
      <t>カンテン</t>
    </rPh>
    <rPh sb="18" eb="20">
      <t>ゾウカ</t>
    </rPh>
    <rPh sb="24" eb="27">
      <t>カノウセイ</t>
    </rPh>
    <phoneticPr fontId="2"/>
  </si>
  <si>
    <t>事業担当者の努力で成果や効果を増減させることが困難な場合がある。</t>
    <rPh sb="0" eb="2">
      <t>ジギョウ</t>
    </rPh>
    <rPh sb="2" eb="5">
      <t>タントウシャ</t>
    </rPh>
    <rPh sb="6" eb="8">
      <t>ドリョク</t>
    </rPh>
    <rPh sb="9" eb="11">
      <t>セイカ</t>
    </rPh>
    <rPh sb="12" eb="14">
      <t>コウカ</t>
    </rPh>
    <rPh sb="15" eb="17">
      <t>ゾウゲン</t>
    </rPh>
    <rPh sb="23" eb="25">
      <t>コンナン</t>
    </rPh>
    <rPh sb="26" eb="28">
      <t>バアイ</t>
    </rPh>
    <phoneticPr fontId="2"/>
  </si>
  <si>
    <t>補助金等のように１件当たりの給付金額が大きくて給付件数が少ない場合があるため、</t>
    <rPh sb="0" eb="3">
      <t>ホジョキン</t>
    </rPh>
    <rPh sb="3" eb="4">
      <t>トウ</t>
    </rPh>
    <rPh sb="9" eb="10">
      <t>ケン</t>
    </rPh>
    <rPh sb="10" eb="11">
      <t>ア</t>
    </rPh>
    <rPh sb="14" eb="16">
      <t>キュウフ</t>
    </rPh>
    <rPh sb="16" eb="18">
      <t>キンガク</t>
    </rPh>
    <rPh sb="19" eb="20">
      <t>オオ</t>
    </rPh>
    <rPh sb="23" eb="25">
      <t>キュウフ</t>
    </rPh>
    <rPh sb="25" eb="27">
      <t>ケンスウ</t>
    </rPh>
    <rPh sb="28" eb="29">
      <t>スク</t>
    </rPh>
    <rPh sb="31" eb="33">
      <t>バアイ</t>
    </rPh>
    <phoneticPr fontId="2"/>
  </si>
  <si>
    <t>事業の性質が類似していると考えられる現金給付の事業間で比較する必要。</t>
    <rPh sb="0" eb="2">
      <t>ジギョウ</t>
    </rPh>
    <rPh sb="3" eb="5">
      <t>セイシツ</t>
    </rPh>
    <rPh sb="6" eb="8">
      <t>ルイジ</t>
    </rPh>
    <rPh sb="13" eb="14">
      <t>カンガ</t>
    </rPh>
    <rPh sb="18" eb="20">
      <t>ゲンキン</t>
    </rPh>
    <rPh sb="20" eb="22">
      <t>キュウフ</t>
    </rPh>
    <rPh sb="23" eb="25">
      <t>ジギョウ</t>
    </rPh>
    <rPh sb="25" eb="26">
      <t>カン</t>
    </rPh>
    <rPh sb="27" eb="29">
      <t>ヒカク</t>
    </rPh>
    <rPh sb="31" eb="33">
      <t>ヒツヨウ</t>
    </rPh>
    <phoneticPr fontId="2"/>
  </si>
  <si>
    <t>行政サービスの利用者負担の「適正性」を表す指標</t>
    <rPh sb="0" eb="2">
      <t>ギョウセイ</t>
    </rPh>
    <rPh sb="7" eb="10">
      <t>リヨウシャ</t>
    </rPh>
    <rPh sb="10" eb="12">
      <t>フタン</t>
    </rPh>
    <rPh sb="14" eb="17">
      <t>テキセイセイ</t>
    </rPh>
    <rPh sb="19" eb="20">
      <t>アラワ</t>
    </rPh>
    <rPh sb="21" eb="23">
      <t>シヒョウ</t>
    </rPh>
    <phoneticPr fontId="2"/>
  </si>
  <si>
    <t>事業実施の「効率性」を表す指標</t>
    <rPh sb="0" eb="2">
      <t>ジギョウ</t>
    </rPh>
    <rPh sb="2" eb="4">
      <t>ジッシ</t>
    </rPh>
    <rPh sb="6" eb="9">
      <t>コウリツセイ</t>
    </rPh>
    <rPh sb="11" eb="12">
      <t>アラワ</t>
    </rPh>
    <rPh sb="13" eb="15">
      <t>シヒョウ</t>
    </rPh>
    <phoneticPr fontId="2"/>
  </si>
  <si>
    <r>
      <t>「</t>
    </r>
    <r>
      <rPr>
        <sz val="12"/>
        <color rgb="FFFF0000"/>
        <rFont val="ＭＳ Ｐゴシック"/>
        <family val="3"/>
        <charset val="128"/>
        <scheme val="minor"/>
      </rPr>
      <t>行政サービスの原価（＝提供量）</t>
    </r>
    <r>
      <rPr>
        <sz val="12"/>
        <color theme="1"/>
        <rFont val="ＭＳ Ｐゴシック"/>
        <family val="3"/>
        <charset val="128"/>
        <scheme val="minor"/>
      </rPr>
      <t>」を示すもの（現金の支出額ではない）</t>
    </r>
    <rPh sb="1" eb="3">
      <t>ギョウセイ</t>
    </rPh>
    <rPh sb="8" eb="10">
      <t>ゲンカ</t>
    </rPh>
    <rPh sb="12" eb="14">
      <t>テイキョウ</t>
    </rPh>
    <rPh sb="14" eb="15">
      <t>リョウ</t>
    </rPh>
    <rPh sb="18" eb="19">
      <t>シメ</t>
    </rPh>
    <rPh sb="23" eb="25">
      <t>ゲンキン</t>
    </rPh>
    <rPh sb="26" eb="28">
      <t>シシュツ</t>
    </rPh>
    <rPh sb="28" eb="29">
      <t>ガク</t>
    </rPh>
    <phoneticPr fontId="2"/>
  </si>
  <si>
    <r>
      <t>タテ比較もしくはヨコ比較をして数値が</t>
    </r>
    <r>
      <rPr>
        <sz val="12"/>
        <color rgb="FFFF0000"/>
        <rFont val="ＭＳ Ｐゴシック"/>
        <family val="3"/>
        <charset val="128"/>
        <scheme val="minor"/>
      </rPr>
      <t>上昇傾向</t>
    </r>
    <r>
      <rPr>
        <sz val="12"/>
        <color theme="1"/>
        <rFont val="ＭＳ Ｐゴシック"/>
        <family val="3"/>
        <charset val="128"/>
        <scheme val="minor"/>
      </rPr>
      <t>あるいは</t>
    </r>
    <r>
      <rPr>
        <sz val="12"/>
        <color rgb="FFFF0000"/>
        <rFont val="ＭＳ Ｐゴシック"/>
        <family val="3"/>
        <charset val="128"/>
        <scheme val="minor"/>
      </rPr>
      <t>高い</t>
    </r>
    <r>
      <rPr>
        <sz val="12"/>
        <color theme="1"/>
        <rFont val="ＭＳ Ｐゴシック"/>
        <family val="3"/>
        <charset val="128"/>
        <scheme val="minor"/>
      </rPr>
      <t>場合</t>
    </r>
    <rPh sb="2" eb="4">
      <t>ヒカク</t>
    </rPh>
    <rPh sb="10" eb="12">
      <t>ヒカク</t>
    </rPh>
    <rPh sb="15" eb="17">
      <t>スウチ</t>
    </rPh>
    <rPh sb="18" eb="20">
      <t>ジョウショウ</t>
    </rPh>
    <rPh sb="20" eb="22">
      <t>ケイコウ</t>
    </rPh>
    <rPh sb="26" eb="27">
      <t>タカ</t>
    </rPh>
    <rPh sb="28" eb="30">
      <t>バアイ</t>
    </rPh>
    <phoneticPr fontId="2"/>
  </si>
  <si>
    <r>
      <t>⇒</t>
    </r>
    <r>
      <rPr>
        <sz val="12"/>
        <color rgb="FFFF0000"/>
        <rFont val="ＭＳ Ｐゴシック"/>
        <family val="3"/>
        <charset val="128"/>
        <scheme val="minor"/>
      </rPr>
      <t>事務の効率性が下がってきている</t>
    </r>
    <r>
      <rPr>
        <sz val="12"/>
        <color theme="1"/>
        <rFont val="ＭＳ Ｐゴシック"/>
        <family val="3"/>
        <charset val="128"/>
        <scheme val="minor"/>
      </rPr>
      <t>、もしくは</t>
    </r>
    <r>
      <rPr>
        <sz val="12"/>
        <color rgb="FFFF0000"/>
        <rFont val="ＭＳ Ｐゴシック"/>
        <family val="3"/>
        <charset val="128"/>
        <scheme val="minor"/>
      </rPr>
      <t>成果・効果がさがってきている</t>
    </r>
    <r>
      <rPr>
        <sz val="12"/>
        <color theme="1"/>
        <rFont val="ＭＳ Ｐゴシック"/>
        <family val="3"/>
        <charset val="128"/>
        <scheme val="minor"/>
      </rPr>
      <t>可能性。</t>
    </r>
    <rPh sb="1" eb="3">
      <t>ジム</t>
    </rPh>
    <rPh sb="4" eb="7">
      <t>コウリツセイ</t>
    </rPh>
    <rPh sb="8" eb="9">
      <t>サ</t>
    </rPh>
    <rPh sb="21" eb="23">
      <t>セイカ</t>
    </rPh>
    <rPh sb="24" eb="26">
      <t>コウカ</t>
    </rPh>
    <rPh sb="35" eb="38">
      <t>カノウセイ</t>
    </rPh>
    <phoneticPr fontId="2"/>
  </si>
  <si>
    <r>
      <t>⇒</t>
    </r>
    <r>
      <rPr>
        <sz val="12"/>
        <color rgb="FFFF0000"/>
        <rFont val="ＭＳ Ｐゴシック"/>
        <family val="3"/>
        <charset val="128"/>
        <scheme val="minor"/>
      </rPr>
      <t>給付事務の効率性が下がってきている</t>
    </r>
    <r>
      <rPr>
        <sz val="12"/>
        <color theme="1"/>
        <rFont val="ＭＳ Ｐゴシック"/>
        <family val="3"/>
        <charset val="128"/>
        <scheme val="minor"/>
      </rPr>
      <t>可能性。</t>
    </r>
    <rPh sb="1" eb="3">
      <t>キュウフ</t>
    </rPh>
    <rPh sb="3" eb="5">
      <t>ジム</t>
    </rPh>
    <rPh sb="6" eb="9">
      <t>コウリツセイ</t>
    </rPh>
    <rPh sb="10" eb="11">
      <t>サ</t>
    </rPh>
    <rPh sb="18" eb="21">
      <t>カノウセイ</t>
    </rPh>
    <phoneticPr fontId="2"/>
  </si>
  <si>
    <r>
      <t>タテ比較もしくはヨコ比較をして</t>
    </r>
    <r>
      <rPr>
        <sz val="12"/>
        <color rgb="FFFF0000"/>
        <rFont val="ＭＳ Ｐゴシック"/>
        <family val="3"/>
        <charset val="128"/>
        <scheme val="minor"/>
      </rPr>
      <t>数値が低い</t>
    </r>
    <r>
      <rPr>
        <sz val="12"/>
        <color theme="1"/>
        <rFont val="ＭＳ Ｐゴシック"/>
        <family val="3"/>
        <charset val="128"/>
        <scheme val="minor"/>
      </rPr>
      <t>場合</t>
    </r>
    <rPh sb="2" eb="4">
      <t>ヒカク</t>
    </rPh>
    <rPh sb="10" eb="12">
      <t>ヒカク</t>
    </rPh>
    <rPh sb="15" eb="17">
      <t>スウチ</t>
    </rPh>
    <rPh sb="18" eb="19">
      <t>ヒク</t>
    </rPh>
    <rPh sb="20" eb="22">
      <t>バアイ</t>
    </rPh>
    <phoneticPr fontId="2"/>
  </si>
  <si>
    <r>
      <t>⇒</t>
    </r>
    <r>
      <rPr>
        <sz val="12"/>
        <color rgb="FFFF0000"/>
        <rFont val="ＭＳ Ｐゴシック"/>
        <family val="3"/>
        <charset val="128"/>
        <scheme val="minor"/>
      </rPr>
      <t>事業の成果が落ちてきている、</t>
    </r>
    <rPh sb="1" eb="3">
      <t>ジギョウ</t>
    </rPh>
    <rPh sb="4" eb="6">
      <t>セイカ</t>
    </rPh>
    <rPh sb="7" eb="8">
      <t>オ</t>
    </rPh>
    <phoneticPr fontId="2"/>
  </si>
  <si>
    <r>
      <rPr>
        <sz val="12"/>
        <color rgb="FFFF0000"/>
        <rFont val="ＭＳ Ｐゴシック"/>
        <family val="3"/>
        <charset val="128"/>
        <scheme val="minor"/>
      </rPr>
      <t>事業の性質により、自己収入の増が事業の成果と言えないものもある</t>
    </r>
    <r>
      <rPr>
        <sz val="12"/>
        <color theme="1"/>
        <rFont val="ＭＳ Ｐゴシック"/>
        <family val="3"/>
        <charset val="128"/>
        <scheme val="minor"/>
      </rPr>
      <t>ため見極めが必要</t>
    </r>
    <rPh sb="0" eb="2">
      <t>ジギョウ</t>
    </rPh>
    <rPh sb="3" eb="5">
      <t>セイシツ</t>
    </rPh>
    <rPh sb="9" eb="11">
      <t>ジコ</t>
    </rPh>
    <rPh sb="11" eb="13">
      <t>シュウニュウ</t>
    </rPh>
    <rPh sb="14" eb="15">
      <t>ゾウ</t>
    </rPh>
    <rPh sb="16" eb="18">
      <t>ジギョウ</t>
    </rPh>
    <rPh sb="19" eb="21">
      <t>セイカ</t>
    </rPh>
    <rPh sb="22" eb="23">
      <t>イ</t>
    </rPh>
    <rPh sb="33" eb="35">
      <t>ミキワ</t>
    </rPh>
    <rPh sb="37" eb="39">
      <t>ヒツヨウ</t>
    </rPh>
    <phoneticPr fontId="2"/>
  </si>
  <si>
    <r>
      <t>タテ比較もしくはヨコ比較をして数値が</t>
    </r>
    <r>
      <rPr>
        <sz val="12"/>
        <color rgb="FFFF0000"/>
        <rFont val="ＭＳ Ｐゴシック"/>
        <family val="3"/>
        <charset val="128"/>
        <scheme val="minor"/>
      </rPr>
      <t>上昇傾向</t>
    </r>
    <r>
      <rPr>
        <sz val="12"/>
        <color theme="1"/>
        <rFont val="ＭＳ Ｐゴシック"/>
        <family val="3"/>
        <charset val="128"/>
        <scheme val="minor"/>
      </rPr>
      <t>あるいは</t>
    </r>
    <r>
      <rPr>
        <sz val="12"/>
        <color rgb="FFFF0000"/>
        <rFont val="ＭＳ Ｐゴシック"/>
        <family val="3"/>
        <charset val="128"/>
        <scheme val="minor"/>
      </rPr>
      <t>高い</t>
    </r>
    <r>
      <rPr>
        <sz val="12"/>
        <color theme="1"/>
        <rFont val="ＭＳ Ｐゴシック"/>
        <family val="3"/>
        <charset val="128"/>
        <scheme val="minor"/>
      </rPr>
      <t>場合</t>
    </r>
    <rPh sb="2" eb="4">
      <t>ヒカク</t>
    </rPh>
    <rPh sb="10" eb="12">
      <t>ヒカク</t>
    </rPh>
    <phoneticPr fontId="2"/>
  </si>
  <si>
    <r>
      <t>⇒</t>
    </r>
    <r>
      <rPr>
        <sz val="12"/>
        <color rgb="FFFF0000"/>
        <rFont val="ＭＳ Ｐゴシック"/>
        <family val="3"/>
        <charset val="128"/>
        <scheme val="minor"/>
      </rPr>
      <t>事務の効率性が下がってきている</t>
    </r>
    <r>
      <rPr>
        <sz val="12"/>
        <color theme="1"/>
        <rFont val="ＭＳ Ｐゴシック"/>
        <family val="3"/>
        <charset val="128"/>
        <scheme val="minor"/>
      </rPr>
      <t>可能性</t>
    </r>
    <rPh sb="16" eb="19">
      <t>カノウセイ</t>
    </rPh>
    <phoneticPr fontId="2"/>
  </si>
  <si>
    <t>手当のように１件当たりの給付金額が小さくて給付件数が多い場合もあれば、</t>
    <phoneticPr fontId="2"/>
  </si>
  <si>
    <r>
      <t>　 また、提供している</t>
    </r>
    <r>
      <rPr>
        <sz val="12"/>
        <color rgb="FFFF0000"/>
        <rFont val="ＭＳ Ｐゴシック"/>
        <family val="3"/>
        <charset val="128"/>
        <scheme val="minor"/>
      </rPr>
      <t>行政サービスとその利用者の負担が見合わなくなってきている</t>
    </r>
    <r>
      <rPr>
        <sz val="12"/>
        <color theme="1"/>
        <rFont val="ＭＳ Ｐゴシック"/>
        <family val="3"/>
        <charset val="128"/>
        <scheme val="minor"/>
      </rPr>
      <t>可能性</t>
    </r>
    <phoneticPr fontId="2"/>
  </si>
  <si>
    <t>コストが前年度と比べて大きく変動する場合がある。</t>
    <phoneticPr fontId="2"/>
  </si>
  <si>
    <t>見方(例)</t>
    <rPh sb="0" eb="2">
      <t>ミカタ</t>
    </rPh>
    <rPh sb="3" eb="4">
      <t>レイ</t>
    </rPh>
    <phoneticPr fontId="2"/>
  </si>
  <si>
    <t>（※）本資料は、フルコスト情報を見る際の参考になるのではないかと考えたため、参考として掲載しております。</t>
    <rPh sb="3" eb="4">
      <t>ホン</t>
    </rPh>
    <rPh sb="4" eb="6">
      <t>シリョウ</t>
    </rPh>
    <rPh sb="13" eb="15">
      <t>ジョウホウ</t>
    </rPh>
    <rPh sb="16" eb="17">
      <t>ミ</t>
    </rPh>
    <rPh sb="18" eb="19">
      <t>サイ</t>
    </rPh>
    <rPh sb="20" eb="22">
      <t>サンコウ</t>
    </rPh>
    <rPh sb="32" eb="33">
      <t>カンガ</t>
    </rPh>
    <rPh sb="38" eb="40">
      <t>サンコウ</t>
    </rPh>
    <rPh sb="43" eb="45">
      <t>ケイサイ</t>
    </rPh>
    <phoneticPr fontId="2"/>
  </si>
  <si>
    <t>庁舎の建替えシステムの大規模改修、政策評価体系の変更などで、</t>
    <rPh sb="0" eb="2">
      <t>チョウシャ</t>
    </rPh>
    <rPh sb="3" eb="5">
      <t>タテカ</t>
    </rPh>
    <rPh sb="11" eb="14">
      <t>ダイキボ</t>
    </rPh>
    <rPh sb="14" eb="16">
      <t>カイシュウ</t>
    </rPh>
    <rPh sb="17" eb="19">
      <t>セイサク</t>
    </rPh>
    <rPh sb="19" eb="21">
      <t>ヒョウカ</t>
    </rPh>
    <rPh sb="21" eb="23">
      <t>タイケイ</t>
    </rPh>
    <rPh sb="24" eb="26">
      <t>ヘンコウ</t>
    </rPh>
    <phoneticPr fontId="2"/>
  </si>
  <si>
    <t>国立公文書館業務</t>
    <rPh sb="0" eb="2">
      <t>コクリツ</t>
    </rPh>
    <rPh sb="2" eb="6">
      <t>コウブンショカン</t>
    </rPh>
    <rPh sb="6" eb="8">
      <t>ギョウム</t>
    </rPh>
    <phoneticPr fontId="3"/>
  </si>
  <si>
    <t>国民生活センター相談事業</t>
    <rPh sb="0" eb="2">
      <t>コクミン</t>
    </rPh>
    <rPh sb="2" eb="4">
      <t>セイカツ</t>
    </rPh>
    <rPh sb="8" eb="10">
      <t>ソウダン</t>
    </rPh>
    <rPh sb="10" eb="12">
      <t>ジギョウ</t>
    </rPh>
    <phoneticPr fontId="3"/>
  </si>
  <si>
    <t>京都迎賓館参観事業</t>
    <rPh sb="0" eb="2">
      <t>キョウト</t>
    </rPh>
    <rPh sb="2" eb="5">
      <t>ゲイヒンカン</t>
    </rPh>
    <rPh sb="5" eb="7">
      <t>サンカン</t>
    </rPh>
    <rPh sb="7" eb="9">
      <t>ジギョウ</t>
    </rPh>
    <phoneticPr fontId="2"/>
  </si>
  <si>
    <t>青年国際交流事業</t>
    <rPh sb="0" eb="2">
      <t>セイネン</t>
    </rPh>
    <rPh sb="2" eb="4">
      <t>コクサイ</t>
    </rPh>
    <rPh sb="4" eb="6">
      <t>コウリュウ</t>
    </rPh>
    <rPh sb="6" eb="8">
      <t>ジギョウ</t>
    </rPh>
    <phoneticPr fontId="2"/>
  </si>
  <si>
    <t>赤坂迎賓館参観事業</t>
    <rPh sb="0" eb="2">
      <t>アカサカ</t>
    </rPh>
    <rPh sb="2" eb="5">
      <t>ゲイヒンカン</t>
    </rPh>
    <rPh sb="5" eb="7">
      <t>サンカン</t>
    </rPh>
    <rPh sb="7" eb="9">
      <t>ジギョウ</t>
    </rPh>
    <phoneticPr fontId="2"/>
  </si>
  <si>
    <t>特別児童扶養手当給付事業</t>
    <rPh sb="0" eb="2">
      <t>トクベツ</t>
    </rPh>
    <rPh sb="2" eb="4">
      <t>ジドウ</t>
    </rPh>
    <rPh sb="4" eb="6">
      <t>フヨウ</t>
    </rPh>
    <rPh sb="6" eb="8">
      <t>テアテ</t>
    </rPh>
    <rPh sb="8" eb="10">
      <t>キュウフ</t>
    </rPh>
    <rPh sb="10" eb="12">
      <t>ジギョウ</t>
    </rPh>
    <phoneticPr fontId="2"/>
  </si>
  <si>
    <t>国立看護大学校事業</t>
    <rPh sb="0" eb="2">
      <t>コクリツ</t>
    </rPh>
    <rPh sb="2" eb="4">
      <t>カンゴ</t>
    </rPh>
    <rPh sb="4" eb="5">
      <t>ダイ</t>
    </rPh>
    <rPh sb="5" eb="7">
      <t>ガッコウ</t>
    </rPh>
    <rPh sb="7" eb="9">
      <t>ジギョウ</t>
    </rPh>
    <phoneticPr fontId="2"/>
  </si>
  <si>
    <t>輸出入植物検疫業務</t>
    <rPh sb="0" eb="3">
      <t>ユシュツニュウ</t>
    </rPh>
    <rPh sb="3" eb="5">
      <t>ショクブツ</t>
    </rPh>
    <rPh sb="5" eb="7">
      <t>ケンエキ</t>
    </rPh>
    <rPh sb="7" eb="9">
      <t>ギョウム</t>
    </rPh>
    <phoneticPr fontId="2"/>
  </si>
  <si>
    <t>輸出入動畜産物検疫業務</t>
    <rPh sb="0" eb="3">
      <t>ユシュツニュウ</t>
    </rPh>
    <rPh sb="3" eb="4">
      <t>ドウ</t>
    </rPh>
    <rPh sb="4" eb="7">
      <t>チクサンブツ</t>
    </rPh>
    <rPh sb="7" eb="9">
      <t>ケンエキ</t>
    </rPh>
    <rPh sb="9" eb="11">
      <t>ギョウム</t>
    </rPh>
    <phoneticPr fontId="2"/>
  </si>
  <si>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2"/>
  </si>
  <si>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2"/>
  </si>
  <si>
    <t>平成29年度決算分</t>
    <rPh sb="0" eb="2">
      <t>ヘイセイ</t>
    </rPh>
    <rPh sb="4" eb="6">
      <t>ネンド</t>
    </rPh>
    <rPh sb="6" eb="8">
      <t>ケッサン</t>
    </rPh>
    <rPh sb="8" eb="9">
      <t>ブン</t>
    </rPh>
    <phoneticPr fontId="2"/>
  </si>
  <si>
    <r>
      <t>平成</t>
    </r>
    <r>
      <rPr>
        <sz val="12"/>
        <rFont val="Century"/>
        <family val="1"/>
      </rPr>
      <t>30年度</t>
    </r>
    <r>
      <rPr>
        <sz val="12"/>
        <rFont val="ＭＳ 明朝"/>
        <family val="1"/>
        <charset val="128"/>
      </rPr>
      <t/>
    </r>
  </si>
  <si>
    <r>
      <t>平成</t>
    </r>
    <r>
      <rPr>
        <sz val="10.5"/>
        <rFont val="Century"/>
        <family val="1"/>
      </rPr>
      <t>30年　国家公務員給与等実態調査</t>
    </r>
    <r>
      <rPr>
        <sz val="10.5"/>
        <rFont val="ＭＳ 明朝"/>
        <family val="1"/>
        <charset val="128"/>
      </rPr>
      <t/>
    </r>
  </si>
  <si>
    <r>
      <t>②平成</t>
    </r>
    <r>
      <rPr>
        <sz val="10.5"/>
        <rFont val="Century"/>
        <family val="1"/>
      </rPr>
      <t>30</t>
    </r>
    <r>
      <rPr>
        <sz val="10.5"/>
        <rFont val="ＭＳ 明朝"/>
        <family val="1"/>
        <charset val="128"/>
      </rPr>
      <t>年</t>
    </r>
    <r>
      <rPr>
        <sz val="10.5"/>
        <rFont val="Century"/>
        <family val="1"/>
      </rPr>
      <t>12</t>
    </r>
    <r>
      <rPr>
        <sz val="10.5"/>
        <rFont val="ＭＳ Ｐ明朝"/>
        <family val="1"/>
        <charset val="128"/>
      </rPr>
      <t>月期の期末・勤勉手当</t>
    </r>
    <r>
      <rPr>
        <sz val="10.5"/>
        <rFont val="ＭＳ 明朝"/>
        <family val="1"/>
        <charset val="128"/>
      </rPr>
      <t/>
    </r>
    <phoneticPr fontId="2"/>
  </si>
  <si>
    <r>
      <t>①平成</t>
    </r>
    <r>
      <rPr>
        <sz val="10.5"/>
        <rFont val="Century"/>
        <family val="1"/>
      </rPr>
      <t>30</t>
    </r>
    <r>
      <rPr>
        <sz val="10.5"/>
        <rFont val="ＭＳ 明朝"/>
        <family val="1"/>
        <charset val="128"/>
      </rPr>
      <t>年</t>
    </r>
    <r>
      <rPr>
        <sz val="10.5"/>
        <rFont val="Century"/>
        <family val="1"/>
      </rPr>
      <t>6</t>
    </r>
    <r>
      <rPr>
        <sz val="10.5"/>
        <rFont val="ＭＳ 明朝"/>
        <family val="1"/>
        <charset val="128"/>
      </rPr>
      <t>月期の期末・勤勉手当</t>
    </r>
    <r>
      <rPr>
        <sz val="10.5"/>
        <rFont val="Century"/>
        <family val="1"/>
      </rPr>
      <t>(2/6)</t>
    </r>
    <r>
      <rPr>
        <sz val="11"/>
        <color theme="1"/>
        <rFont val="ＭＳ Ｐゴシック"/>
        <family val="2"/>
        <charset val="128"/>
        <scheme val="minor"/>
      </rPr>
      <t/>
    </r>
    <phoneticPr fontId="2"/>
  </si>
  <si>
    <r>
      <t>417,230</t>
    </r>
    <r>
      <rPr>
        <sz val="10.5"/>
        <rFont val="ＭＳ 明朝"/>
        <family val="1"/>
        <charset val="128"/>
      </rPr>
      <t>×</t>
    </r>
    <r>
      <rPr>
        <sz val="10.5"/>
        <rFont val="Century"/>
        <family val="1"/>
      </rPr>
      <t>12=</t>
    </r>
    <r>
      <rPr>
        <sz val="11"/>
        <color theme="1"/>
        <rFont val="ＭＳ Ｐゴシック"/>
        <family val="2"/>
        <charset val="128"/>
        <scheme val="minor"/>
      </rPr>
      <t/>
    </r>
    <phoneticPr fontId="2"/>
  </si>
  <si>
    <r>
      <t>652,600</t>
    </r>
    <r>
      <rPr>
        <sz val="10.5"/>
        <rFont val="ＭＳ 明朝"/>
        <family val="1"/>
        <charset val="128"/>
      </rPr>
      <t>×</t>
    </r>
    <r>
      <rPr>
        <sz val="10.5"/>
        <rFont val="Century"/>
        <family val="1"/>
      </rPr>
      <t>2/6=217,533</t>
    </r>
    <phoneticPr fontId="2"/>
  </si>
  <si>
    <t>409,908,116,223/職員数（54７,386人）</t>
  </si>
  <si>
    <t>　333,722,285,341/職員数（543,000人）</t>
  </si>
  <si>
    <t>　177,442,214,194/職員数（545,982人）</t>
  </si>
  <si>
    <t>26年度　退職手当に係る退職給付引当金繰入額</t>
    <rPh sb="2" eb="4">
      <t>ネンド</t>
    </rPh>
    <rPh sb="5" eb="7">
      <t>タイショク</t>
    </rPh>
    <rPh sb="7" eb="9">
      <t>テアテ</t>
    </rPh>
    <rPh sb="10" eb="11">
      <t>カカ</t>
    </rPh>
    <phoneticPr fontId="2"/>
  </si>
  <si>
    <t>27年度　退職手当に係る退職給付引当金繰入額</t>
    <rPh sb="2" eb="4">
      <t>ネンド</t>
    </rPh>
    <phoneticPr fontId="2"/>
  </si>
  <si>
    <t>28年度　退職手当に係る退職給付引当金繰入額</t>
    <rPh sb="2" eb="4">
      <t>ネンド</t>
    </rPh>
    <phoneticPr fontId="2"/>
  </si>
  <si>
    <t>29年度　退職手当に係る退職給付引当金繰入額</t>
    <rPh sb="2" eb="4">
      <t>ネンド</t>
    </rPh>
    <phoneticPr fontId="2"/>
  </si>
  <si>
    <t>平成29年度</t>
    <rPh sb="0" eb="2">
      <t>ヘイセイ</t>
    </rPh>
    <rPh sb="4" eb="6">
      <t>ネンド</t>
    </rPh>
    <phoneticPr fontId="2"/>
  </si>
  <si>
    <t>分析対象事業</t>
    <rPh sb="0" eb="2">
      <t>ブンセキ</t>
    </rPh>
    <rPh sb="2" eb="4">
      <t>タイショウ</t>
    </rPh>
    <rPh sb="4" eb="6">
      <t>ジギョウ</t>
    </rPh>
    <phoneticPr fontId="2"/>
  </si>
  <si>
    <t>職員数（国＋独法等）（単位：人）</t>
    <rPh sb="0" eb="3">
      <t>ショクインスウ</t>
    </rPh>
    <rPh sb="4" eb="5">
      <t>クニ</t>
    </rPh>
    <rPh sb="6" eb="8">
      <t>ドッポウ</t>
    </rPh>
    <rPh sb="8" eb="9">
      <t>トウ</t>
    </rPh>
    <rPh sb="11" eb="13">
      <t>タンイ</t>
    </rPh>
    <rPh sb="14" eb="15">
      <t>ニン</t>
    </rPh>
    <phoneticPr fontId="2"/>
  </si>
  <si>
    <t>国におけるフルコスト合計（単位：千円）</t>
    <rPh sb="0" eb="1">
      <t>クニ</t>
    </rPh>
    <rPh sb="10" eb="12">
      <t>ゴウケイ</t>
    </rPh>
    <rPh sb="13" eb="15">
      <t>タンイ</t>
    </rPh>
    <rPh sb="16" eb="18">
      <t>センエン</t>
    </rPh>
    <phoneticPr fontId="2"/>
  </si>
  <si>
    <t>独法等におけるフルコスト合計（単位：千円）</t>
    <rPh sb="0" eb="2">
      <t>ドッポウ</t>
    </rPh>
    <rPh sb="1" eb="2">
      <t>ホウ</t>
    </rPh>
    <rPh sb="2" eb="3">
      <t>トウ</t>
    </rPh>
    <rPh sb="12" eb="14">
      <t>ゴウケイ</t>
    </rPh>
    <rPh sb="15" eb="17">
      <t>タンイ</t>
    </rPh>
    <rPh sb="18" eb="20">
      <t>センエン</t>
    </rPh>
    <phoneticPr fontId="2"/>
  </si>
  <si>
    <t>フルコスト合計（単位：千円）</t>
    <rPh sb="5" eb="7">
      <t>ゴウケイ</t>
    </rPh>
    <rPh sb="8" eb="10">
      <t>タンイ</t>
    </rPh>
    <rPh sb="11" eb="12">
      <t>セン</t>
    </rPh>
    <rPh sb="12" eb="13">
      <t>エン</t>
    </rPh>
    <phoneticPr fontId="2"/>
  </si>
  <si>
    <t>人件費比率（単位：％）</t>
    <rPh sb="0" eb="3">
      <t>ジンケンヒ</t>
    </rPh>
    <rPh sb="3" eb="5">
      <t>ヒリツ</t>
    </rPh>
    <rPh sb="6" eb="8">
      <t>タンイ</t>
    </rPh>
    <phoneticPr fontId="2"/>
  </si>
  <si>
    <t>自己収入（単位：千円）</t>
    <rPh sb="0" eb="2">
      <t>ジコ</t>
    </rPh>
    <rPh sb="2" eb="4">
      <t>シュウニュウ</t>
    </rPh>
    <rPh sb="5" eb="7">
      <t>タンイ</t>
    </rPh>
    <rPh sb="8" eb="10">
      <t>センエン</t>
    </rPh>
    <phoneticPr fontId="2"/>
  </si>
  <si>
    <t>自己収入比率（単位：％）</t>
    <rPh sb="0" eb="2">
      <t>ジコ</t>
    </rPh>
    <rPh sb="2" eb="4">
      <t>シュウニュウ</t>
    </rPh>
    <rPh sb="4" eb="6">
      <t>ヒリツ</t>
    </rPh>
    <rPh sb="7" eb="9">
      <t>タンイ</t>
    </rPh>
    <phoneticPr fontId="2"/>
  </si>
  <si>
    <t>間接コスト率（単位：％）</t>
    <rPh sb="0" eb="2">
      <t>カンセツ</t>
    </rPh>
    <rPh sb="5" eb="6">
      <t>リツ</t>
    </rPh>
    <rPh sb="7" eb="9">
      <t>タンイ</t>
    </rPh>
    <phoneticPr fontId="2"/>
  </si>
  <si>
    <t>(内訳)</t>
    <rPh sb="1" eb="3">
      <t>ウチワケ</t>
    </rPh>
    <phoneticPr fontId="2"/>
  </si>
  <si>
    <t>実用準天頂衛星システム事業の推進事業</t>
    <rPh sb="0" eb="2">
      <t>ジツヨウ</t>
    </rPh>
    <rPh sb="2" eb="3">
      <t>ジュン</t>
    </rPh>
    <rPh sb="3" eb="5">
      <t>テンチョウ</t>
    </rPh>
    <rPh sb="5" eb="7">
      <t>エイセイ</t>
    </rPh>
    <rPh sb="11" eb="13">
      <t>ジギョウ</t>
    </rPh>
    <rPh sb="14" eb="16">
      <t>スイシン</t>
    </rPh>
    <rPh sb="16" eb="18">
      <t>ジギョウ</t>
    </rPh>
    <phoneticPr fontId="2"/>
  </si>
  <si>
    <t>教員資格認定試験事業</t>
    <rPh sb="0" eb="2">
      <t>キョウイン</t>
    </rPh>
    <rPh sb="2" eb="4">
      <t>シカク</t>
    </rPh>
    <rPh sb="4" eb="6">
      <t>ニンテイ</t>
    </rPh>
    <rPh sb="6" eb="8">
      <t>シケン</t>
    </rPh>
    <rPh sb="8" eb="10">
      <t>ジギョウ</t>
    </rPh>
    <phoneticPr fontId="2"/>
  </si>
  <si>
    <t>養育費相談支援センター事業</t>
    <phoneticPr fontId="2"/>
  </si>
  <si>
    <t>燃料電池の利用拡大に向けたエネファーム等導入支援事業</t>
    <phoneticPr fontId="2"/>
  </si>
  <si>
    <t>地殻変動等調査業務（水準測量業務）②（業務委託分）</t>
    <rPh sb="0" eb="2">
      <t>チカク</t>
    </rPh>
    <rPh sb="2" eb="4">
      <t>ヘンドウ</t>
    </rPh>
    <rPh sb="4" eb="5">
      <t>トウ</t>
    </rPh>
    <rPh sb="5" eb="7">
      <t>チョウサ</t>
    </rPh>
    <rPh sb="7" eb="9">
      <t>ギョウム</t>
    </rPh>
    <rPh sb="10" eb="12">
      <t>スイジュン</t>
    </rPh>
    <rPh sb="12" eb="14">
      <t>ソクリョウ</t>
    </rPh>
    <rPh sb="14" eb="16">
      <t>ギョウム</t>
    </rPh>
    <rPh sb="19" eb="21">
      <t>ギョウム</t>
    </rPh>
    <rPh sb="21" eb="23">
      <t>イタク</t>
    </rPh>
    <rPh sb="23" eb="24">
      <t>ブン</t>
    </rPh>
    <phoneticPr fontId="2"/>
  </si>
  <si>
    <t>事業参加人数（人）</t>
    <rPh sb="0" eb="2">
      <t>ジギョウ</t>
    </rPh>
    <rPh sb="2" eb="4">
      <t>サンカ</t>
    </rPh>
    <rPh sb="4" eb="6">
      <t>ニンズウ</t>
    </rPh>
    <rPh sb="7" eb="8">
      <t>ヒト</t>
    </rPh>
    <phoneticPr fontId="2"/>
  </si>
  <si>
    <t>参観者数（人）</t>
    <rPh sb="0" eb="2">
      <t>サンカン</t>
    </rPh>
    <rPh sb="2" eb="3">
      <t>シャ</t>
    </rPh>
    <rPh sb="3" eb="4">
      <t>スウ</t>
    </rPh>
    <rPh sb="5" eb="6">
      <t>ヒト</t>
    </rPh>
    <phoneticPr fontId="2"/>
  </si>
  <si>
    <t>機数（機）</t>
    <rPh sb="0" eb="1">
      <t>キ</t>
    </rPh>
    <rPh sb="1" eb="2">
      <t>スウ</t>
    </rPh>
    <rPh sb="3" eb="4">
      <t>キ</t>
    </rPh>
    <phoneticPr fontId="2"/>
  </si>
  <si>
    <t>ホームページアクセス数（件）</t>
    <rPh sb="10" eb="11">
      <t>スウ</t>
    </rPh>
    <rPh sb="12" eb="13">
      <t>ケン</t>
    </rPh>
    <phoneticPr fontId="2"/>
  </si>
  <si>
    <t>相談件数（件）</t>
    <rPh sb="0" eb="2">
      <t>ソウダン</t>
    </rPh>
    <rPh sb="2" eb="4">
      <t>ケンスウ</t>
    </rPh>
    <rPh sb="5" eb="6">
      <t>ケン</t>
    </rPh>
    <phoneticPr fontId="2"/>
  </si>
  <si>
    <t>給付件数（件）</t>
    <rPh sb="0" eb="2">
      <t>キュウフ</t>
    </rPh>
    <rPh sb="2" eb="4">
      <t>ケンスウ</t>
    </rPh>
    <rPh sb="5" eb="6">
      <t>ケン</t>
    </rPh>
    <phoneticPr fontId="2"/>
  </si>
  <si>
    <t>新幹線トンネル対策距離（km）</t>
    <rPh sb="0" eb="3">
      <t>シンカンセン</t>
    </rPh>
    <rPh sb="7" eb="9">
      <t>タイサク</t>
    </rPh>
    <rPh sb="9" eb="11">
      <t>キョリ</t>
    </rPh>
    <phoneticPr fontId="2"/>
  </si>
  <si>
    <t>一元化システム数（件）</t>
    <rPh sb="0" eb="3">
      <t>イチゲンカ</t>
    </rPh>
    <rPh sb="7" eb="8">
      <t>スウ</t>
    </rPh>
    <rPh sb="9" eb="10">
      <t>ケン</t>
    </rPh>
    <phoneticPr fontId="2"/>
  </si>
  <si>
    <t>調査数（件）</t>
    <rPh sb="0" eb="2">
      <t>チョウサ</t>
    </rPh>
    <rPh sb="2" eb="3">
      <t>スウ</t>
    </rPh>
    <rPh sb="4" eb="5">
      <t>ケン</t>
    </rPh>
    <phoneticPr fontId="2"/>
  </si>
  <si>
    <t>受給者数（人）</t>
    <rPh sb="0" eb="2">
      <t>ジュキュウ</t>
    </rPh>
    <rPh sb="2" eb="3">
      <t>シャ</t>
    </rPh>
    <rPh sb="3" eb="4">
      <t>スウ</t>
    </rPh>
    <rPh sb="5" eb="6">
      <t>ヒト</t>
    </rPh>
    <phoneticPr fontId="2"/>
  </si>
  <si>
    <t>被収容者数（人）</t>
    <rPh sb="0" eb="1">
      <t>ヒ</t>
    </rPh>
    <rPh sb="1" eb="4">
      <t>シュウヨウシャ</t>
    </rPh>
    <rPh sb="4" eb="5">
      <t>スウ</t>
    </rPh>
    <rPh sb="6" eb="7">
      <t>ヒト</t>
    </rPh>
    <phoneticPr fontId="2"/>
  </si>
  <si>
    <t>処理事件数（件）</t>
    <rPh sb="0" eb="2">
      <t>ショリ</t>
    </rPh>
    <rPh sb="2" eb="4">
      <t>ジケン</t>
    </rPh>
    <rPh sb="4" eb="5">
      <t>スウ</t>
    </rPh>
    <rPh sb="6" eb="7">
      <t>ケン</t>
    </rPh>
    <phoneticPr fontId="2"/>
  </si>
  <si>
    <t>業務件数（件）</t>
    <rPh sb="0" eb="2">
      <t>ギョウム</t>
    </rPh>
    <rPh sb="2" eb="4">
      <t>ケンスウ</t>
    </rPh>
    <rPh sb="5" eb="6">
      <t>ケン</t>
    </rPh>
    <phoneticPr fontId="2"/>
  </si>
  <si>
    <t>受験者数（人）</t>
    <rPh sb="0" eb="3">
      <t>ジュケンシャ</t>
    </rPh>
    <rPh sb="3" eb="4">
      <t>スウ</t>
    </rPh>
    <rPh sb="5" eb="6">
      <t>ヒト</t>
    </rPh>
    <phoneticPr fontId="2"/>
  </si>
  <si>
    <t>貸与人員数（人）</t>
    <rPh sb="0" eb="2">
      <t>タイヨ</t>
    </rPh>
    <rPh sb="2" eb="4">
      <t>ジンイン</t>
    </rPh>
    <rPh sb="4" eb="5">
      <t>スウ</t>
    </rPh>
    <rPh sb="6" eb="7">
      <t>ヒト</t>
    </rPh>
    <phoneticPr fontId="2"/>
  </si>
  <si>
    <t>検疫実施者数（人）</t>
    <rPh sb="0" eb="2">
      <t>ケンエキ</t>
    </rPh>
    <rPh sb="2" eb="4">
      <t>ジッシ</t>
    </rPh>
    <rPh sb="4" eb="5">
      <t>シャ</t>
    </rPh>
    <rPh sb="5" eb="6">
      <t>スウ</t>
    </rPh>
    <rPh sb="7" eb="8">
      <t>ヒト</t>
    </rPh>
    <phoneticPr fontId="2"/>
  </si>
  <si>
    <t>養育費相談支援センターで受けた相談件数（件）</t>
    <rPh sb="0" eb="3">
      <t>ヨウイクヒ</t>
    </rPh>
    <rPh sb="3" eb="5">
      <t>ソウダン</t>
    </rPh>
    <rPh sb="5" eb="7">
      <t>シエン</t>
    </rPh>
    <rPh sb="12" eb="13">
      <t>ウ</t>
    </rPh>
    <rPh sb="15" eb="17">
      <t>ソウダン</t>
    </rPh>
    <rPh sb="17" eb="19">
      <t>ケンスウ</t>
    </rPh>
    <rPh sb="20" eb="21">
      <t>ケン</t>
    </rPh>
    <phoneticPr fontId="2"/>
  </si>
  <si>
    <t>学生数（人）</t>
    <rPh sb="0" eb="3">
      <t>ガクセイスウ</t>
    </rPh>
    <rPh sb="4" eb="5">
      <t>ヒト</t>
    </rPh>
    <phoneticPr fontId="2"/>
  </si>
  <si>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</si>
  <si>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</si>
  <si>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被保険者数（千人）</t>
    <rPh sb="0" eb="4">
      <t>ヒホケンシャ</t>
    </rPh>
    <rPh sb="4" eb="5">
      <t>スウ</t>
    </rPh>
    <rPh sb="6" eb="8">
      <t>センニン</t>
    </rPh>
    <phoneticPr fontId="2"/>
  </si>
  <si>
    <t>受給者（延べ）数（人）</t>
    <rPh sb="0" eb="3">
      <t>ジュキュウシャ</t>
    </rPh>
    <rPh sb="4" eb="5">
      <t>ノ</t>
    </rPh>
    <rPh sb="7" eb="8">
      <t>スウ</t>
    </rPh>
    <rPh sb="9" eb="10">
      <t>ヒト</t>
    </rPh>
    <phoneticPr fontId="2"/>
  </si>
  <si>
    <t>動畜産物輸出入検査件数（件）</t>
    <rPh sb="0" eb="1">
      <t>ドウ</t>
    </rPh>
    <rPh sb="1" eb="4">
      <t>チクサンブツ</t>
    </rPh>
    <rPh sb="4" eb="7">
      <t>ユシュツニュウ</t>
    </rPh>
    <rPh sb="7" eb="9">
      <t>ケンサ</t>
    </rPh>
    <rPh sb="9" eb="11">
      <t>ケンスウ</t>
    </rPh>
    <rPh sb="12" eb="13">
      <t>ケン</t>
    </rPh>
    <phoneticPr fontId="2"/>
  </si>
  <si>
    <t>志願者数（人）</t>
    <rPh sb="0" eb="3">
      <t>シガンシャ</t>
    </rPh>
    <rPh sb="3" eb="4">
      <t>スウ</t>
    </rPh>
    <rPh sb="5" eb="6">
      <t>ヒト</t>
    </rPh>
    <phoneticPr fontId="2"/>
  </si>
  <si>
    <t>補助金交付件数（件）</t>
    <rPh sb="0" eb="3">
      <t>ホジョキン</t>
    </rPh>
    <rPh sb="3" eb="5">
      <t>コウフ</t>
    </rPh>
    <rPh sb="5" eb="7">
      <t>ケンスウ</t>
    </rPh>
    <rPh sb="8" eb="9">
      <t>ケン</t>
    </rPh>
    <phoneticPr fontId="2"/>
  </si>
  <si>
    <t>補助金交付充電設備基数（件）</t>
    <rPh sb="0" eb="3">
      <t>ホジョキン</t>
    </rPh>
    <rPh sb="3" eb="5">
      <t>コウフ</t>
    </rPh>
    <rPh sb="5" eb="7">
      <t>ジュウデン</t>
    </rPh>
    <rPh sb="7" eb="9">
      <t>セツビ</t>
    </rPh>
    <rPh sb="9" eb="11">
      <t>キスウ</t>
    </rPh>
    <rPh sb="12" eb="13">
      <t>ケン</t>
    </rPh>
    <phoneticPr fontId="2"/>
  </si>
  <si>
    <t>補助件数（件）</t>
    <rPh sb="0" eb="2">
      <t>ホジョ</t>
    </rPh>
    <rPh sb="2" eb="4">
      <t>ケンスウ</t>
    </rPh>
    <rPh sb="5" eb="6">
      <t>ケン</t>
    </rPh>
    <phoneticPr fontId="2"/>
  </si>
  <si>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2"/>
  </si>
  <si>
    <t>業務委託の水準測量延長（km）</t>
    <rPh sb="0" eb="2">
      <t>ギョウム</t>
    </rPh>
    <rPh sb="2" eb="4">
      <t>イタク</t>
    </rPh>
    <rPh sb="5" eb="7">
      <t>スイジュン</t>
    </rPh>
    <rPh sb="7" eb="9">
      <t>ソクリョウ</t>
    </rPh>
    <rPh sb="9" eb="11">
      <t>エンチョウ</t>
    </rPh>
    <phoneticPr fontId="2"/>
  </si>
  <si>
    <t>提供データ量（ＧＢ）</t>
    <rPh sb="0" eb="2">
      <t>テイキョウ</t>
    </rPh>
    <rPh sb="5" eb="6">
      <t>リョウ</t>
    </rPh>
    <phoneticPr fontId="2"/>
  </si>
  <si>
    <t>授業・講座開設日数（日）</t>
    <rPh sb="0" eb="2">
      <t>ジュギョウ</t>
    </rPh>
    <rPh sb="3" eb="5">
      <t>コウザ</t>
    </rPh>
    <rPh sb="5" eb="7">
      <t>カイセツ</t>
    </rPh>
    <rPh sb="7" eb="9">
      <t>ニッスウ</t>
    </rPh>
    <rPh sb="10" eb="11">
      <t>ヒ</t>
    </rPh>
    <phoneticPr fontId="2"/>
  </si>
  <si>
    <t>助成件数（件）</t>
    <rPh sb="0" eb="2">
      <t>ジョセイ</t>
    </rPh>
    <rPh sb="2" eb="4">
      <t>ケンスウ</t>
    </rPh>
    <rPh sb="5" eb="6">
      <t>ケン</t>
    </rPh>
    <phoneticPr fontId="2"/>
  </si>
  <si>
    <t>地殻変動等調査業務（水準測量業務）統合版（①国土地理院実施分、②業務委託分）</t>
    <rPh sb="0" eb="2">
      <t>チカク</t>
    </rPh>
    <rPh sb="2" eb="4">
      <t>ヘンドウ</t>
    </rPh>
    <rPh sb="4" eb="5">
      <t>トウ</t>
    </rPh>
    <rPh sb="5" eb="7">
      <t>チョウサ</t>
    </rPh>
    <rPh sb="7" eb="9">
      <t>ギョウム</t>
    </rPh>
    <rPh sb="10" eb="12">
      <t>スイジュン</t>
    </rPh>
    <rPh sb="12" eb="14">
      <t>ソクリョウ</t>
    </rPh>
    <rPh sb="14" eb="16">
      <t>ギョウム</t>
    </rPh>
    <rPh sb="17" eb="19">
      <t>トウゴウ</t>
    </rPh>
    <rPh sb="19" eb="20">
      <t>バン</t>
    </rPh>
    <rPh sb="22" eb="24">
      <t>コクド</t>
    </rPh>
    <rPh sb="24" eb="26">
      <t>チリ</t>
    </rPh>
    <rPh sb="26" eb="27">
      <t>イン</t>
    </rPh>
    <rPh sb="27" eb="29">
      <t>ジッシ</t>
    </rPh>
    <rPh sb="29" eb="30">
      <t>ブン</t>
    </rPh>
    <rPh sb="32" eb="34">
      <t>ギョウム</t>
    </rPh>
    <rPh sb="34" eb="36">
      <t>イタク</t>
    </rPh>
    <rPh sb="36" eb="37">
      <t>ブン</t>
    </rPh>
    <phoneticPr fontId="2"/>
  </si>
  <si>
    <t>地殻変動等調査業務（水準測量業務）①（国土地理院実施分）</t>
    <rPh sb="0" eb="2">
      <t>チカク</t>
    </rPh>
    <rPh sb="2" eb="4">
      <t>ヘンドウ</t>
    </rPh>
    <rPh sb="4" eb="5">
      <t>トウ</t>
    </rPh>
    <rPh sb="5" eb="7">
      <t>チョウサ</t>
    </rPh>
    <rPh sb="7" eb="9">
      <t>ギョウム</t>
    </rPh>
    <rPh sb="10" eb="12">
      <t>スイジュン</t>
    </rPh>
    <rPh sb="12" eb="14">
      <t>ソクリョウ</t>
    </rPh>
    <rPh sb="14" eb="16">
      <t>ギョウム</t>
    </rPh>
    <rPh sb="19" eb="21">
      <t>コクド</t>
    </rPh>
    <rPh sb="21" eb="23">
      <t>チリ</t>
    </rPh>
    <rPh sb="23" eb="24">
      <t>イン</t>
    </rPh>
    <rPh sb="24" eb="26">
      <t>ジッシ</t>
    </rPh>
    <rPh sb="26" eb="27">
      <t>ブン</t>
    </rPh>
    <phoneticPr fontId="2"/>
  </si>
  <si>
    <t>学生、受講生人数（人）</t>
    <rPh sb="0" eb="2">
      <t>ガクセイ</t>
    </rPh>
    <rPh sb="3" eb="6">
      <t>ジュコウセイ</t>
    </rPh>
    <rPh sb="6" eb="7">
      <t>ヒト</t>
    </rPh>
    <rPh sb="7" eb="8">
      <t>スウ</t>
    </rPh>
    <rPh sb="9" eb="10">
      <t>ヒト</t>
    </rPh>
    <phoneticPr fontId="2"/>
  </si>
  <si>
    <t>任意設定の単位（個別事業ごと）</t>
    <rPh sb="0" eb="2">
      <t>ニンイ</t>
    </rPh>
    <rPh sb="2" eb="4">
      <t>セッテイ</t>
    </rPh>
    <rPh sb="5" eb="7">
      <t>タンイ</t>
    </rPh>
    <rPh sb="8" eb="10">
      <t>コベツ</t>
    </rPh>
    <rPh sb="10" eb="12">
      <t>ジギョウ</t>
    </rPh>
    <phoneticPr fontId="2"/>
  </si>
  <si>
    <t>任意設定の単位当たりコスト</t>
    <rPh sb="0" eb="2">
      <t>ニンイ</t>
    </rPh>
    <rPh sb="2" eb="4">
      <t>セッテイ</t>
    </rPh>
    <rPh sb="5" eb="7">
      <t>タンイ</t>
    </rPh>
    <rPh sb="7" eb="8">
      <t>ア</t>
    </rPh>
    <phoneticPr fontId="2"/>
  </si>
  <si>
    <t>平成26年　国家公務員給与等実態調査</t>
  </si>
  <si>
    <t>平成27年　国家公務員給与等実態調査</t>
  </si>
  <si>
    <t>平成28年　国家公務員給与等実態調査</t>
  </si>
  <si>
    <t>平成29年　国家公務員給与等実態調査</t>
  </si>
  <si>
    <t>415,426×12=</t>
  </si>
  <si>
    <t>416,455×12=</t>
  </si>
  <si>
    <t>417,394×12=</t>
  </si>
  <si>
    <t>416,969×12=</t>
  </si>
  <si>
    <t>①平成26年6月期の期末・勤勉手当(2/6)</t>
  </si>
  <si>
    <t>①平成27年6月期の期末・勤勉手当(2/6)</t>
  </si>
  <si>
    <t>①平成28年6月期の期末・勤勉手当(2/6)</t>
  </si>
  <si>
    <t>①平成29年6月期の期末・勤勉手当(2/6)</t>
  </si>
  <si>
    <t>586,700×2/6=</t>
  </si>
  <si>
    <t>619,900×2/6</t>
  </si>
  <si>
    <t>630,100×2/6=210,033</t>
  </si>
  <si>
    <t>642,100×2/6=214,033</t>
  </si>
  <si>
    <t>②平成26年12月期の期末・勤勉手当</t>
  </si>
  <si>
    <t>②平成27年12月期の期末・勤勉手当</t>
  </si>
  <si>
    <t>②平成28年12月期の期末・勤勉手当</t>
  </si>
  <si>
    <t>②平成29年12月期の期末・勤勉手当</t>
  </si>
  <si>
    <t>117,418,157,066/職員数（549,120人）</t>
  </si>
  <si>
    <t>平成27年6月期の期末・勤勉手当(4/6)</t>
  </si>
  <si>
    <t>平成28年6月期の期末・勤勉手当(4/6)</t>
  </si>
  <si>
    <t>平成29年6月期の期末・勤勉手当(4/6)</t>
  </si>
  <si>
    <t>平成30年6月期の期末・勤勉手当(4/6)</t>
  </si>
  <si>
    <t>619,900×4/6=</t>
  </si>
  <si>
    <t>630,100×4/6=</t>
  </si>
  <si>
    <t>642,100×4/6=428,066</t>
  </si>
  <si>
    <t>652,600×4/6=435,066</t>
  </si>
  <si>
    <t>R２年度予算（要求）</t>
    <rPh sb="2" eb="4">
      <t>ネンド</t>
    </rPh>
    <rPh sb="4" eb="6">
      <t>ヨサン</t>
    </rPh>
    <rPh sb="7" eb="9">
      <t>ヨウキュウ</t>
    </rPh>
    <phoneticPr fontId="2"/>
  </si>
  <si>
    <t>査定</t>
    <rPh sb="0" eb="2">
      <t>サテイ</t>
    </rPh>
    <phoneticPr fontId="2"/>
  </si>
  <si>
    <t>単位当たりコスト①（単位：円）</t>
    <rPh sb="0" eb="2">
      <t>タンイ</t>
    </rPh>
    <rPh sb="2" eb="3">
      <t>ア</t>
    </rPh>
    <rPh sb="10" eb="12">
      <t>タンイ</t>
    </rPh>
    <rPh sb="13" eb="14">
      <t>エン</t>
    </rPh>
    <phoneticPr fontId="2"/>
  </si>
  <si>
    <t>単位当たりコスト②（単位：円）</t>
    <rPh sb="0" eb="2">
      <t>タンイ</t>
    </rPh>
    <rPh sb="2" eb="3">
      <t>ア</t>
    </rPh>
    <rPh sb="10" eb="12">
      <t>タンイ</t>
    </rPh>
    <rPh sb="13" eb="14">
      <t>エン</t>
    </rPh>
    <phoneticPr fontId="2"/>
  </si>
  <si>
    <t>単位当たりコスト③（単位：円）</t>
    <rPh sb="0" eb="2">
      <t>タンイ</t>
    </rPh>
    <rPh sb="2" eb="3">
      <t>ア</t>
    </rPh>
    <rPh sb="10" eb="12">
      <t>タンイ</t>
    </rPh>
    <rPh sb="13" eb="14">
      <t>エン</t>
    </rPh>
    <phoneticPr fontId="2"/>
  </si>
  <si>
    <t>単位当たりコスト④（単位：円）</t>
    <rPh sb="0" eb="2">
      <t>タンイ</t>
    </rPh>
    <rPh sb="2" eb="3">
      <t>ア</t>
    </rPh>
    <rPh sb="10" eb="12">
      <t>タンイ</t>
    </rPh>
    <rPh sb="13" eb="14">
      <t>エン</t>
    </rPh>
    <phoneticPr fontId="2"/>
  </si>
  <si>
    <t>任意設定の単位当たりコスト（単位：円）</t>
    <rPh sb="0" eb="2">
      <t>ニンイ</t>
    </rPh>
    <rPh sb="2" eb="4">
      <t>セッテイ</t>
    </rPh>
    <rPh sb="5" eb="7">
      <t>タンイ</t>
    </rPh>
    <rPh sb="7" eb="8">
      <t>ア</t>
    </rPh>
    <rPh sb="14" eb="16">
      <t>タンイ</t>
    </rPh>
    <rPh sb="17" eb="18">
      <t>エン</t>
    </rPh>
    <phoneticPr fontId="2"/>
  </si>
  <si>
    <t>（％）</t>
    <phoneticPr fontId="2"/>
  </si>
  <si>
    <t>（％）</t>
    <phoneticPr fontId="2"/>
  </si>
  <si>
    <t>国</t>
    <rPh sb="0" eb="1">
      <t>クニ</t>
    </rPh>
    <phoneticPr fontId="11"/>
  </si>
  <si>
    <t>独法等</t>
    <rPh sb="0" eb="2">
      <t>ドッポウ</t>
    </rPh>
    <rPh sb="2" eb="3">
      <t>トウ</t>
    </rPh>
    <phoneticPr fontId="11"/>
  </si>
  <si>
    <t>単位①
（個別事業ごと）</t>
    <rPh sb="0" eb="2">
      <t>タンイ</t>
    </rPh>
    <rPh sb="5" eb="7">
      <t>コベツ</t>
    </rPh>
    <rPh sb="7" eb="9">
      <t>ジギョウ</t>
    </rPh>
    <phoneticPr fontId="2"/>
  </si>
  <si>
    <t>単位②
（個別事業ごと）</t>
    <rPh sb="0" eb="2">
      <t>タンイ</t>
    </rPh>
    <rPh sb="5" eb="7">
      <t>コベツ</t>
    </rPh>
    <rPh sb="7" eb="9">
      <t>ジギョウ</t>
    </rPh>
    <phoneticPr fontId="2"/>
  </si>
  <si>
    <t>単位③
（個別事業ごと）</t>
    <rPh sb="0" eb="2">
      <t>タンイ</t>
    </rPh>
    <rPh sb="5" eb="7">
      <t>コベツ</t>
    </rPh>
    <rPh sb="7" eb="9">
      <t>ジギョウ</t>
    </rPh>
    <phoneticPr fontId="2"/>
  </si>
  <si>
    <t>単位④
（個別事業ごと）</t>
    <rPh sb="0" eb="2">
      <t>タンイ</t>
    </rPh>
    <rPh sb="5" eb="7">
      <t>コベツ</t>
    </rPh>
    <rPh sb="7" eb="9">
      <t>ジギョウ</t>
    </rPh>
    <phoneticPr fontId="2"/>
  </si>
  <si>
    <t>庁舎等
（減価償却費）</t>
    <rPh sb="0" eb="2">
      <t>チョウシャ</t>
    </rPh>
    <rPh sb="2" eb="3">
      <t>ナド</t>
    </rPh>
    <rPh sb="5" eb="7">
      <t>ゲンカ</t>
    </rPh>
    <rPh sb="7" eb="9">
      <t>ショウキャク</t>
    </rPh>
    <rPh sb="9" eb="10">
      <t>ヒ</t>
    </rPh>
    <phoneticPr fontId="2"/>
  </si>
  <si>
    <t>国における
フルコスト合計</t>
    <rPh sb="0" eb="1">
      <t>クニ</t>
    </rPh>
    <rPh sb="11" eb="13">
      <t>ゴウケイ</t>
    </rPh>
    <phoneticPr fontId="2"/>
  </si>
  <si>
    <t>業務費のうち、
人件費</t>
    <rPh sb="0" eb="2">
      <t>ギョウム</t>
    </rPh>
    <rPh sb="2" eb="3">
      <t>ヒ</t>
    </rPh>
    <rPh sb="8" eb="11">
      <t>ジンケンヒ</t>
    </rPh>
    <phoneticPr fontId="2"/>
  </si>
  <si>
    <t>業務費のうち、
人件費以外</t>
    <rPh sb="0" eb="2">
      <t>ギョウム</t>
    </rPh>
    <rPh sb="2" eb="3">
      <t>ヒ</t>
    </rPh>
    <rPh sb="8" eb="11">
      <t>ジンケンヒ</t>
    </rPh>
    <rPh sb="11" eb="13">
      <t>イガイ</t>
    </rPh>
    <phoneticPr fontId="2"/>
  </si>
  <si>
    <t>業務費用
（人件費）</t>
    <rPh sb="0" eb="2">
      <t>ギョウム</t>
    </rPh>
    <rPh sb="2" eb="4">
      <t>ヒヨウ</t>
    </rPh>
    <rPh sb="6" eb="9">
      <t>ジンケンヒ</t>
    </rPh>
    <phoneticPr fontId="2"/>
  </si>
  <si>
    <t>業務費用
（人件費以外）</t>
    <rPh sb="0" eb="2">
      <t>ギョウム</t>
    </rPh>
    <rPh sb="2" eb="4">
      <t>ヒヨウ</t>
    </rPh>
    <rPh sb="6" eb="9">
      <t>ジンケンヒ</t>
    </rPh>
    <rPh sb="9" eb="11">
      <t>イガイ</t>
    </rPh>
    <phoneticPr fontId="2"/>
  </si>
  <si>
    <t>独法等における
フルコスト合計</t>
    <rPh sb="0" eb="2">
      <t>ドクホウ</t>
    </rPh>
    <rPh sb="2" eb="3">
      <t>ナド</t>
    </rPh>
    <rPh sb="13" eb="15">
      <t>ゴウケイ</t>
    </rPh>
    <phoneticPr fontId="2"/>
  </si>
  <si>
    <t>9
= 4＋5＋6＋7</t>
    <phoneticPr fontId="2"/>
  </si>
  <si>
    <t>14 ＝ 10＋12</t>
    <phoneticPr fontId="2"/>
  </si>
  <si>
    <t>16 ＝11＋13</t>
    <phoneticPr fontId="2"/>
  </si>
  <si>
    <t>20
=14+15+16+17+18</t>
    <phoneticPr fontId="2"/>
  </si>
  <si>
    <t>21 = 9+20</t>
    <phoneticPr fontId="2"/>
  </si>
  <si>
    <t>23 ＝22÷21</t>
    <phoneticPr fontId="2"/>
  </si>
  <si>
    <t>32 ＝21÷25</t>
    <phoneticPr fontId="2"/>
  </si>
  <si>
    <t>33 ＝21÷27</t>
    <phoneticPr fontId="2"/>
  </si>
  <si>
    <t>34 ＝21÷29</t>
    <phoneticPr fontId="2"/>
  </si>
  <si>
    <t>35 ＝21÷31</t>
    <phoneticPr fontId="2"/>
  </si>
  <si>
    <t>40 ＝21÷39</t>
    <phoneticPr fontId="2"/>
  </si>
  <si>
    <t>9
= 4＋5＋6＋7</t>
    <phoneticPr fontId="2"/>
  </si>
  <si>
    <t>14 ＝ 10＋12</t>
    <phoneticPr fontId="2"/>
  </si>
  <si>
    <t>21 = 9+20</t>
    <phoneticPr fontId="2"/>
  </si>
  <si>
    <t>33 ＝21÷27</t>
    <phoneticPr fontId="2"/>
  </si>
  <si>
    <t>高速道路及び直轄国道トンネル対策距離（km）</t>
    <rPh sb="0" eb="2">
      <t>コウソク</t>
    </rPh>
    <rPh sb="2" eb="4">
      <t>ドウロ</t>
    </rPh>
    <rPh sb="4" eb="5">
      <t>オヨ</t>
    </rPh>
    <rPh sb="6" eb="8">
      <t>チョッカツ</t>
    </rPh>
    <rPh sb="8" eb="10">
      <t>コクドウ</t>
    </rPh>
    <rPh sb="14" eb="16">
      <t>タイサク</t>
    </rPh>
    <rPh sb="16" eb="18">
      <t>キョリ</t>
    </rPh>
    <phoneticPr fontId="2"/>
  </si>
  <si>
    <t>出入国在留管理業務</t>
    <rPh sb="0" eb="2">
      <t>シュツニュウ</t>
    </rPh>
    <rPh sb="2" eb="3">
      <t>コク</t>
    </rPh>
    <rPh sb="3" eb="5">
      <t>ザイリュウ</t>
    </rPh>
    <rPh sb="5" eb="7">
      <t>カンリ</t>
    </rPh>
    <rPh sb="7" eb="9">
      <t>ギョウム</t>
    </rPh>
    <phoneticPr fontId="2"/>
  </si>
  <si>
    <t>自治体への斡旋件数（件）</t>
    <rPh sb="0" eb="3">
      <t>ジチタイ</t>
    </rPh>
    <rPh sb="5" eb="7">
      <t>アッセン</t>
    </rPh>
    <rPh sb="7" eb="9">
      <t>ケンスウ</t>
    </rPh>
    <rPh sb="10" eb="11">
      <t>ケン</t>
    </rPh>
    <phoneticPr fontId="2"/>
  </si>
  <si>
    <t>来場者数（人）</t>
    <rPh sb="0" eb="3">
      <t>ライジョウシャ</t>
    </rPh>
    <rPh sb="3" eb="4">
      <t>スウ</t>
    </rPh>
    <rPh sb="5" eb="6">
      <t>ニン</t>
    </rPh>
    <phoneticPr fontId="2"/>
  </si>
  <si>
    <t>防衛大学校の維持事業</t>
  </si>
  <si>
    <t>防衛医科大学校の維持事業</t>
  </si>
  <si>
    <t>防衛問題セミナー業務</t>
  </si>
  <si>
    <t>直接行政サービス事業</t>
  </si>
  <si>
    <t>直接型</t>
  </si>
  <si>
    <t>CO2排出削減対策強化誘導型技術開発・実証事業</t>
  </si>
  <si>
    <t>土壌汚染調査技術管理者試験業務</t>
  </si>
  <si>
    <t>不動産鑑定士試験事業</t>
  </si>
  <si>
    <t>国営公園維持管理事業</t>
  </si>
  <si>
    <t>独立行政法人自動車事故対策機構適性診断業務</t>
  </si>
  <si>
    <t>間接型</t>
    <phoneticPr fontId="2"/>
  </si>
  <si>
    <t>資源配分事業</t>
  </si>
  <si>
    <t>省エネルギー投資促進に向けた支援等補助事業</t>
  </si>
  <si>
    <t>燃料電池自動車の普及促進に向けた水素ステーション整備事業費補助事業</t>
  </si>
  <si>
    <t>獣医師国家試験業務</t>
  </si>
  <si>
    <t>水産資源調査・評価に係る業務</t>
  </si>
  <si>
    <t>薬剤師国家試験事業</t>
  </si>
  <si>
    <t>国立美術館（展示）事業</t>
  </si>
  <si>
    <t>国立文化財機構（展示）事業</t>
  </si>
  <si>
    <t>税理士試験業務</t>
  </si>
  <si>
    <t>日本特集番組制作支援事業</t>
  </si>
  <si>
    <t>司法書士試験業務</t>
  </si>
  <si>
    <t>利用者数（人）</t>
    <rPh sb="0" eb="2">
      <t>リヨウ</t>
    </rPh>
    <rPh sb="2" eb="3">
      <t>シャ</t>
    </rPh>
    <rPh sb="3" eb="4">
      <t>スウ</t>
    </rPh>
    <rPh sb="5" eb="6">
      <t>ニン</t>
    </rPh>
    <phoneticPr fontId="2"/>
  </si>
  <si>
    <t>人権相談件数（件）</t>
    <rPh sb="0" eb="2">
      <t>ジンケン</t>
    </rPh>
    <rPh sb="2" eb="4">
      <t>ソウダン</t>
    </rPh>
    <rPh sb="4" eb="6">
      <t>ケンスウ</t>
    </rPh>
    <rPh sb="7" eb="8">
      <t>ケン</t>
    </rPh>
    <phoneticPr fontId="2"/>
  </si>
  <si>
    <t>出願者数（人）</t>
    <rPh sb="0" eb="3">
      <t>シュツガンシャ</t>
    </rPh>
    <rPh sb="3" eb="4">
      <t>スウ</t>
    </rPh>
    <rPh sb="5" eb="6">
      <t>ニン</t>
    </rPh>
    <phoneticPr fontId="2"/>
  </si>
  <si>
    <t>招へい者数（人）</t>
    <rPh sb="0" eb="1">
      <t>ショウ</t>
    </rPh>
    <rPh sb="3" eb="4">
      <t>シャ</t>
    </rPh>
    <rPh sb="4" eb="5">
      <t>スウ</t>
    </rPh>
    <rPh sb="6" eb="7">
      <t>ニン</t>
    </rPh>
    <phoneticPr fontId="2"/>
  </si>
  <si>
    <t>報道件数（件）</t>
    <rPh sb="0" eb="2">
      <t>ホウドウ</t>
    </rPh>
    <rPh sb="2" eb="4">
      <t>ケンスウ</t>
    </rPh>
    <rPh sb="5" eb="6">
      <t>ケン</t>
    </rPh>
    <phoneticPr fontId="2"/>
  </si>
  <si>
    <t>番組制作数（番組）</t>
    <rPh sb="0" eb="2">
      <t>バングミ</t>
    </rPh>
    <rPh sb="2" eb="4">
      <t>セイサク</t>
    </rPh>
    <rPh sb="4" eb="5">
      <t>スウ</t>
    </rPh>
    <rPh sb="6" eb="8">
      <t>バングミ</t>
    </rPh>
    <phoneticPr fontId="2"/>
  </si>
  <si>
    <t>プレスツアー参加人数（人）</t>
    <rPh sb="6" eb="8">
      <t>サンカ</t>
    </rPh>
    <rPh sb="8" eb="10">
      <t>ニンズウ</t>
    </rPh>
    <rPh sb="11" eb="12">
      <t>ニン</t>
    </rPh>
    <phoneticPr fontId="2"/>
  </si>
  <si>
    <t>受験申込者数（人）</t>
    <rPh sb="0" eb="2">
      <t>ジュケン</t>
    </rPh>
    <rPh sb="2" eb="4">
      <t>モウシコミ</t>
    </rPh>
    <rPh sb="4" eb="5">
      <t>シャ</t>
    </rPh>
    <rPh sb="5" eb="6">
      <t>スウ</t>
    </rPh>
    <rPh sb="7" eb="8">
      <t>ニン</t>
    </rPh>
    <phoneticPr fontId="2"/>
  </si>
  <si>
    <t>研修参加者数（人）</t>
    <rPh sb="0" eb="2">
      <t>ケンシュウ</t>
    </rPh>
    <rPh sb="2" eb="5">
      <t>サンカシャ</t>
    </rPh>
    <rPh sb="5" eb="6">
      <t>スウ</t>
    </rPh>
    <rPh sb="7" eb="8">
      <t>ニン</t>
    </rPh>
    <phoneticPr fontId="2"/>
  </si>
  <si>
    <t>事業実施数（事業）</t>
    <rPh sb="0" eb="2">
      <t>ジギョウ</t>
    </rPh>
    <rPh sb="2" eb="4">
      <t>ジッシ</t>
    </rPh>
    <rPh sb="4" eb="5">
      <t>スウ</t>
    </rPh>
    <rPh sb="6" eb="8">
      <t>ジギョウ</t>
    </rPh>
    <phoneticPr fontId="2"/>
  </si>
  <si>
    <t>業務日数（日）</t>
    <rPh sb="0" eb="2">
      <t>ギョウム</t>
    </rPh>
    <rPh sb="2" eb="4">
      <t>ニッスウ</t>
    </rPh>
    <rPh sb="5" eb="6">
      <t>ヒ</t>
    </rPh>
    <phoneticPr fontId="2"/>
  </si>
  <si>
    <t>稼働時間数（時間）</t>
    <rPh sb="0" eb="2">
      <t>カドウ</t>
    </rPh>
    <rPh sb="2" eb="4">
      <t>ジカン</t>
    </rPh>
    <rPh sb="4" eb="5">
      <t>スウ</t>
    </rPh>
    <rPh sb="6" eb="8">
      <t>ジカン</t>
    </rPh>
    <phoneticPr fontId="2"/>
  </si>
  <si>
    <t>引受件数（件）</t>
    <rPh sb="0" eb="1">
      <t>ヒ</t>
    </rPh>
    <rPh sb="1" eb="2">
      <t>ウ</t>
    </rPh>
    <rPh sb="2" eb="4">
      <t>ケンスウ</t>
    </rPh>
    <rPh sb="5" eb="6">
      <t>ケン</t>
    </rPh>
    <phoneticPr fontId="2"/>
  </si>
  <si>
    <t>交付件数（件）</t>
    <rPh sb="0" eb="2">
      <t>コウフ</t>
    </rPh>
    <rPh sb="2" eb="4">
      <t>ケンスウ</t>
    </rPh>
    <rPh sb="5" eb="6">
      <t>ケン</t>
    </rPh>
    <phoneticPr fontId="2"/>
  </si>
  <si>
    <t>商談件数（件）</t>
    <rPh sb="0" eb="2">
      <t>ショウダン</t>
    </rPh>
    <rPh sb="2" eb="4">
      <t>ケンスウ</t>
    </rPh>
    <rPh sb="5" eb="6">
      <t>ケン</t>
    </rPh>
    <phoneticPr fontId="2"/>
  </si>
  <si>
    <t>成約件数（件）</t>
    <rPh sb="0" eb="2">
      <t>セイヤク</t>
    </rPh>
    <rPh sb="2" eb="4">
      <t>ケンスウ</t>
    </rPh>
    <rPh sb="5" eb="6">
      <t>ケン</t>
    </rPh>
    <phoneticPr fontId="2"/>
  </si>
  <si>
    <t>年間入園者（人）</t>
    <rPh sb="0" eb="2">
      <t>ネンカン</t>
    </rPh>
    <rPh sb="2" eb="5">
      <t>ニュウエンシャ</t>
    </rPh>
    <rPh sb="6" eb="7">
      <t>ニン</t>
    </rPh>
    <phoneticPr fontId="2"/>
  </si>
  <si>
    <t>受験者数（人）</t>
    <rPh sb="0" eb="2">
      <t>ジュケン</t>
    </rPh>
    <rPh sb="2" eb="3">
      <t>シャ</t>
    </rPh>
    <rPh sb="3" eb="4">
      <t>スウ</t>
    </rPh>
    <rPh sb="5" eb="6">
      <t>ニン</t>
    </rPh>
    <phoneticPr fontId="2"/>
  </si>
  <si>
    <t>研究課題数（件）</t>
    <rPh sb="0" eb="2">
      <t>ケンキュウ</t>
    </rPh>
    <rPh sb="2" eb="4">
      <t>カダイ</t>
    </rPh>
    <rPh sb="4" eb="5">
      <t>スウ</t>
    </rPh>
    <rPh sb="6" eb="7">
      <t>ケン</t>
    </rPh>
    <phoneticPr fontId="2"/>
  </si>
  <si>
    <t>学生数（人）</t>
    <rPh sb="0" eb="2">
      <t>ガクセイ</t>
    </rPh>
    <rPh sb="2" eb="3">
      <t>スウ</t>
    </rPh>
    <rPh sb="4" eb="5">
      <t>ニン</t>
    </rPh>
    <phoneticPr fontId="2"/>
  </si>
  <si>
    <t>公認会計士試験業務</t>
    <phoneticPr fontId="2"/>
  </si>
  <si>
    <t>41
＝（4＋14＋15）
÷21</t>
    <phoneticPr fontId="2"/>
  </si>
  <si>
    <t>研究課題数（課題）</t>
    <rPh sb="0" eb="2">
      <t>ケンキュウ</t>
    </rPh>
    <rPh sb="2" eb="4">
      <t>カダイ</t>
    </rPh>
    <rPh sb="4" eb="5">
      <t>スウ</t>
    </rPh>
    <rPh sb="6" eb="8">
      <t>カダイ</t>
    </rPh>
    <phoneticPr fontId="2"/>
  </si>
  <si>
    <t>強い農業づくり交付金事業</t>
    <rPh sb="10" eb="12">
      <t>ジギョウ</t>
    </rPh>
    <phoneticPr fontId="2"/>
  </si>
  <si>
    <t>福島生活環境整備・帰還再生加速事業（防犯・防災委託事業）</t>
    <rPh sb="0" eb="2">
      <t>フクシマ</t>
    </rPh>
    <rPh sb="2" eb="4">
      <t>セイカツ</t>
    </rPh>
    <rPh sb="4" eb="6">
      <t>カンキョウ</t>
    </rPh>
    <rPh sb="6" eb="8">
      <t>セイビ</t>
    </rPh>
    <rPh sb="9" eb="11">
      <t>キカン</t>
    </rPh>
    <rPh sb="11" eb="13">
      <t>サイセイ</t>
    </rPh>
    <rPh sb="13" eb="15">
      <t>カソク</t>
    </rPh>
    <rPh sb="15" eb="17">
      <t>ジギョウ</t>
    </rPh>
    <rPh sb="18" eb="20">
      <t>ボウハン</t>
    </rPh>
    <rPh sb="21" eb="23">
      <t>ボウサイ</t>
    </rPh>
    <rPh sb="23" eb="25">
      <t>イタク</t>
    </rPh>
    <rPh sb="25" eb="27">
      <t>ジギョウ</t>
    </rPh>
    <phoneticPr fontId="2"/>
  </si>
  <si>
    <t>業務日数（日）</t>
    <rPh sb="0" eb="2">
      <t>ギョウム</t>
    </rPh>
    <rPh sb="2" eb="4">
      <t>ニッスウ</t>
    </rPh>
    <rPh sb="5" eb="6">
      <t>ニチ</t>
    </rPh>
    <phoneticPr fontId="2"/>
  </si>
  <si>
    <t>ステーション数（ステーション）</t>
    <rPh sb="6" eb="7">
      <t>スウ</t>
    </rPh>
    <phoneticPr fontId="2"/>
  </si>
  <si>
    <t>マイナポータルアクセス数（件）</t>
    <rPh sb="11" eb="12">
      <t>スウ</t>
    </rPh>
    <rPh sb="13" eb="14">
      <t>ケン</t>
    </rPh>
    <phoneticPr fontId="2"/>
  </si>
  <si>
    <t>１．目的</t>
    <phoneticPr fontId="2"/>
  </si>
  <si>
    <t>○</t>
    <phoneticPr fontId="2"/>
  </si>
  <si>
    <t>　政策別コスト情報は、省庁の政策ごとのコストを表示したセグメント情報であり、</t>
    <phoneticPr fontId="2"/>
  </si>
  <si>
    <t>人件費や事務費を含むフルコストで特定の政策に係る費用を一覧できることにより、</t>
    <phoneticPr fontId="2"/>
  </si>
  <si>
    <t>①コストの経年変化や他事業との比較分析が可能となり、②行政活動に関する国民の</t>
    <phoneticPr fontId="2"/>
  </si>
  <si>
    <t>理解の促進が図れること等を目的として作成・公表しておりますが、その一方で、政</t>
    <phoneticPr fontId="2"/>
  </si>
  <si>
    <t>策別コスト情報には一つの政策単位に複数の事業が含まれており、コストの集計単位</t>
    <phoneticPr fontId="2"/>
  </si>
  <si>
    <t>が大きいためにフルコストの分析が難しいといった課題があります。</t>
    <phoneticPr fontId="2"/>
  </si>
  <si>
    <t>　財政制度等審議会財政制度分科会法制・公会計部会に設置した「財務書類等の一層</t>
    <phoneticPr fontId="2"/>
  </si>
  <si>
    <t>の活用に向けたワーキンググループ」での議論をとりまとめ、平成27年4月30日に</t>
    <phoneticPr fontId="2"/>
  </si>
  <si>
    <t>公表した「財務書類等の一層の活用に向けて（報告書）」では、「フルコスト情報の把</t>
    <phoneticPr fontId="2"/>
  </si>
  <si>
    <t>握」をあげております。</t>
    <phoneticPr fontId="2"/>
  </si>
  <si>
    <t>　今回「政策別コスト情報の改善」の取組として、試行的に代表的な個別事業につい</t>
    <phoneticPr fontId="2"/>
  </si>
  <si>
    <t>○</t>
    <phoneticPr fontId="2"/>
  </si>
  <si>
    <t>てのフルコストを算定し、公表することとしました。</t>
    <phoneticPr fontId="2"/>
  </si>
  <si>
    <t>　この取組により、以下のような効果があると考えられます。</t>
    <phoneticPr fontId="2"/>
  </si>
  <si>
    <t>　省庁別財務書類や政策別コスト情報の参考情報として、個別事業のフルコスト情報</t>
    <phoneticPr fontId="2"/>
  </si>
  <si>
    <t>を国民の皆様に開示することにより、国民の皆様に各省庁等の政策に関する理解を深</t>
    <phoneticPr fontId="2"/>
  </si>
  <si>
    <t>めていただくとともに、職員のコスト意識を向上させ、より効率的・効果的な事業の</t>
    <phoneticPr fontId="2"/>
  </si>
  <si>
    <t>執行に努めてまいります。</t>
    <phoneticPr fontId="2"/>
  </si>
  <si>
    <t>２．フルコスト情報の見方</t>
    <phoneticPr fontId="2"/>
  </si>
  <si>
    <t>（１）事業・業務に係るフルコスト・中間コスト（間接経費）</t>
    <phoneticPr fontId="2"/>
  </si>
  <si>
    <t>　フルコスト：国が直接行政サービスを実施するに当たってのコストの総額を示して</t>
    <phoneticPr fontId="2"/>
  </si>
  <si>
    <t>　　　　　　　います。</t>
    <phoneticPr fontId="2"/>
  </si>
  <si>
    <t>　中間コスト：国から交付された資金が最終的に国民に行き渡るまでにかかったコス</t>
    <phoneticPr fontId="2"/>
  </si>
  <si>
    <t>　　　　　　  トの総額を示しています。</t>
    <phoneticPr fontId="2"/>
  </si>
  <si>
    <t>（２）単位当たりコスト</t>
    <phoneticPr fontId="2"/>
  </si>
  <si>
    <t>　フルコスト・中間コスト（間接経費）をその行政サービスを利用した利用者数など</t>
    <phoneticPr fontId="2"/>
  </si>
  <si>
    <t>で割って算出しています。事業の大まかなボリュームを把握するための指標となりま</t>
    <phoneticPr fontId="2"/>
  </si>
  <si>
    <t>す。</t>
    <phoneticPr fontId="2"/>
  </si>
  <si>
    <t>（４）自己収入</t>
    <phoneticPr fontId="2"/>
  </si>
  <si>
    <t>　当該事業・業務の実施に伴って発生するコストの財源として、税以外で直接受け入</t>
    <phoneticPr fontId="2"/>
  </si>
  <si>
    <t>れた収入を示しています。</t>
    <phoneticPr fontId="2"/>
  </si>
  <si>
    <t>（５）間接コスト率（中間コスト（間接経費）のみ）</t>
    <phoneticPr fontId="2"/>
  </si>
  <si>
    <t>　国から交付された資金の総額に対して、その資金を交付するのにかかったコスト総</t>
    <phoneticPr fontId="2"/>
  </si>
  <si>
    <t>額の割合です。</t>
    <phoneticPr fontId="2"/>
  </si>
  <si>
    <t>（６）自己収入比率</t>
    <phoneticPr fontId="2"/>
  </si>
  <si>
    <t>（７）その他のコスト</t>
    <phoneticPr fontId="2"/>
  </si>
  <si>
    <t>　地方公共団体を通じて実施している国の事業で、国がその事務経費を補助金・負担</t>
    <phoneticPr fontId="2"/>
  </si>
  <si>
    <t>金等という形で負担しているものについて、その予算科目と金額を参考として掲記し</t>
    <phoneticPr fontId="2"/>
  </si>
  <si>
    <t>ています。</t>
    <phoneticPr fontId="2"/>
  </si>
  <si>
    <t>　　　　　　　　個別事業のフルコスト情報の開示について</t>
    <phoneticPr fontId="2"/>
  </si>
  <si>
    <t>外国メディア向けプレスツアー事業</t>
    <rPh sb="14" eb="16">
      <t>ジギョウ</t>
    </rPh>
    <phoneticPr fontId="2"/>
  </si>
  <si>
    <t>外国報道関係者招へい事業</t>
    <rPh sb="10" eb="12">
      <t>ジギョウ</t>
    </rPh>
    <phoneticPr fontId="2"/>
  </si>
  <si>
    <t>独立行政法人教職員支援機構研修事業</t>
    <rPh sb="0" eb="2">
      <t>ドクリツ</t>
    </rPh>
    <rPh sb="2" eb="4">
      <t>ギョウセイ</t>
    </rPh>
    <rPh sb="4" eb="6">
      <t>ホウジン</t>
    </rPh>
    <phoneticPr fontId="2"/>
  </si>
  <si>
    <t>独立行政法人国立女性教育会館研修事業</t>
    <rPh sb="0" eb="2">
      <t>ドクリツ</t>
    </rPh>
    <rPh sb="2" eb="4">
      <t>ギョウセイ</t>
    </rPh>
    <rPh sb="4" eb="6">
      <t>ホウジン</t>
    </rPh>
    <rPh sb="6" eb="8">
      <t>コクリツ</t>
    </rPh>
    <rPh sb="8" eb="10">
      <t>ジョセイ</t>
    </rPh>
    <rPh sb="10" eb="12">
      <t>キョウイク</t>
    </rPh>
    <rPh sb="12" eb="14">
      <t>カイカン</t>
    </rPh>
    <rPh sb="14" eb="16">
      <t>ケンシュウ</t>
    </rPh>
    <phoneticPr fontId="2"/>
  </si>
  <si>
    <t>独立行政法人国立青少年教育振興機構教育事業及び研修支援業務</t>
    <rPh sb="0" eb="2">
      <t>ドクリツ</t>
    </rPh>
    <rPh sb="2" eb="4">
      <t>ギョウセイ</t>
    </rPh>
    <rPh sb="4" eb="6">
      <t>ホウジン</t>
    </rPh>
    <rPh sb="17" eb="19">
      <t>キョウイク</t>
    </rPh>
    <rPh sb="19" eb="21">
      <t>ジギョウ</t>
    </rPh>
    <rPh sb="21" eb="22">
      <t>オヨ</t>
    </rPh>
    <rPh sb="25" eb="27">
      <t>シエン</t>
    </rPh>
    <rPh sb="27" eb="29">
      <t>ギョウム</t>
    </rPh>
    <phoneticPr fontId="2"/>
  </si>
  <si>
    <t>日本学校保健会補助事業（調査研究事業）</t>
    <rPh sb="9" eb="11">
      <t>ジギョウ</t>
    </rPh>
    <rPh sb="12" eb="14">
      <t>チョウサ</t>
    </rPh>
    <rPh sb="14" eb="16">
      <t>ケンキュウ</t>
    </rPh>
    <rPh sb="16" eb="18">
      <t>ジギョウ</t>
    </rPh>
    <phoneticPr fontId="2"/>
  </si>
  <si>
    <t>国立大学法人等業務</t>
    <rPh sb="6" eb="7">
      <t>トウ</t>
    </rPh>
    <rPh sb="7" eb="9">
      <t>ギョウム</t>
    </rPh>
    <phoneticPr fontId="2"/>
  </si>
  <si>
    <t>－</t>
    <phoneticPr fontId="2"/>
  </si>
  <si>
    <t>独立行政法人国立特別支援教育総合研究所研究事業</t>
    <rPh sb="0" eb="2">
      <t>ドクリツ</t>
    </rPh>
    <rPh sb="2" eb="4">
      <t>ギョウセイ</t>
    </rPh>
    <rPh sb="4" eb="6">
      <t>ホウジン</t>
    </rPh>
    <rPh sb="19" eb="21">
      <t>ケンキュウ</t>
    </rPh>
    <rPh sb="21" eb="23">
      <t>ジギョウ</t>
    </rPh>
    <phoneticPr fontId="2"/>
  </si>
  <si>
    <t>独立行政法人国立特別支援教育総合研究所研修事業</t>
    <rPh sb="0" eb="2">
      <t>ドクリツ</t>
    </rPh>
    <rPh sb="2" eb="4">
      <t>ギョウセイ</t>
    </rPh>
    <rPh sb="4" eb="6">
      <t>ホウジン</t>
    </rPh>
    <rPh sb="19" eb="21">
      <t>ケンシュウ</t>
    </rPh>
    <rPh sb="21" eb="23">
      <t>ジギョウ</t>
    </rPh>
    <phoneticPr fontId="2"/>
  </si>
  <si>
    <t>戦略的輸出拡大サポート事業（商談会及び見本市への出展等サポート）</t>
    <phoneticPr fontId="2"/>
  </si>
  <si>
    <t>X線自由電子レーザー施設（SACLA）の整備・共用事業</t>
    <rPh sb="23" eb="25">
      <t>キョウヨウ</t>
    </rPh>
    <rPh sb="25" eb="27">
      <t>ジギョウ</t>
    </rPh>
    <phoneticPr fontId="2"/>
  </si>
  <si>
    <t>地球環境保全試験研究事業</t>
    <rPh sb="10" eb="12">
      <t>ジギョウ</t>
    </rPh>
    <phoneticPr fontId="2"/>
  </si>
  <si>
    <t/>
  </si>
  <si>
    <t>燃料電池の利用拡大に向けたエネファーム等導入支援事業</t>
  </si>
  <si>
    <t>農業共済事業事務費負担金事業</t>
    <rPh sb="12" eb="14">
      <t>ジギョウ</t>
    </rPh>
    <phoneticPr fontId="2"/>
  </si>
  <si>
    <t>回数（回）</t>
    <rPh sb="0" eb="2">
      <t>カイスウ</t>
    </rPh>
    <rPh sb="3" eb="4">
      <t>カイ</t>
    </rPh>
    <phoneticPr fontId="2"/>
  </si>
  <si>
    <t>研修開催数（回）</t>
    <rPh sb="0" eb="2">
      <t>ケンシュウ</t>
    </rPh>
    <rPh sb="2" eb="4">
      <t>カイサイ</t>
    </rPh>
    <rPh sb="4" eb="5">
      <t>スウ</t>
    </rPh>
    <rPh sb="6" eb="7">
      <t>カイ</t>
    </rPh>
    <phoneticPr fontId="2"/>
  </si>
  <si>
    <t>総利用者数（人）</t>
    <rPh sb="0" eb="1">
      <t>ソウ</t>
    </rPh>
    <rPh sb="1" eb="3">
      <t>リヨウ</t>
    </rPh>
    <rPh sb="3" eb="4">
      <t>シャ</t>
    </rPh>
    <rPh sb="4" eb="5">
      <t>スウ</t>
    </rPh>
    <rPh sb="6" eb="7">
      <t>ニン</t>
    </rPh>
    <phoneticPr fontId="2"/>
  </si>
  <si>
    <t>営業日数（日）</t>
    <rPh sb="0" eb="3">
      <t>エイギョウビ</t>
    </rPh>
    <rPh sb="3" eb="4">
      <t>スウ</t>
    </rPh>
    <rPh sb="5" eb="6">
      <t>ニチ</t>
    </rPh>
    <phoneticPr fontId="2"/>
  </si>
  <si>
    <t>研修実施件数（件）</t>
    <rPh sb="0" eb="2">
      <t>ケンシュウ</t>
    </rPh>
    <rPh sb="2" eb="4">
      <t>ジッシ</t>
    </rPh>
    <rPh sb="4" eb="5">
      <t>ケン</t>
    </rPh>
    <rPh sb="5" eb="6">
      <t>スウ</t>
    </rPh>
    <rPh sb="7" eb="8">
      <t>ケン</t>
    </rPh>
    <phoneticPr fontId="2"/>
  </si>
  <si>
    <t>入場者数（人）</t>
    <rPh sb="0" eb="2">
      <t>ニュウジョウ</t>
    </rPh>
    <rPh sb="2" eb="3">
      <t>シャ</t>
    </rPh>
    <rPh sb="3" eb="4">
      <t>スウ</t>
    </rPh>
    <rPh sb="5" eb="6">
      <t>ニン</t>
    </rPh>
    <phoneticPr fontId="2"/>
  </si>
  <si>
    <t>開催日数（日）</t>
    <rPh sb="0" eb="2">
      <t>カイサイ</t>
    </rPh>
    <rPh sb="2" eb="4">
      <t>ニッスウ</t>
    </rPh>
    <rPh sb="5" eb="6">
      <t>ニチ</t>
    </rPh>
    <phoneticPr fontId="2"/>
  </si>
  <si>
    <t>申込者数（人）</t>
    <rPh sb="0" eb="2">
      <t>モウシコミ</t>
    </rPh>
    <rPh sb="2" eb="3">
      <t>シャ</t>
    </rPh>
    <rPh sb="3" eb="4">
      <t>スウ</t>
    </rPh>
    <rPh sb="5" eb="6">
      <t>ニン</t>
    </rPh>
    <phoneticPr fontId="2"/>
  </si>
  <si>
    <t>受診者数（人）</t>
    <rPh sb="0" eb="2">
      <t>ジュシン</t>
    </rPh>
    <rPh sb="2" eb="3">
      <t>シャ</t>
    </rPh>
    <rPh sb="3" eb="4">
      <t>スウ</t>
    </rPh>
    <rPh sb="5" eb="6">
      <t>ニン</t>
    </rPh>
    <phoneticPr fontId="2"/>
  </si>
  <si>
    <t>防衛問題セミナー来場者数（人）</t>
    <rPh sb="0" eb="2">
      <t>ボウエイ</t>
    </rPh>
    <rPh sb="2" eb="4">
      <t>モンダイ</t>
    </rPh>
    <rPh sb="8" eb="11">
      <t>ライジョウシャ</t>
    </rPh>
    <rPh sb="11" eb="12">
      <t>スウ</t>
    </rPh>
    <rPh sb="13" eb="14">
      <t>ニン</t>
    </rPh>
    <phoneticPr fontId="2"/>
  </si>
  <si>
    <t>　また、「業務実施に伴い当該政策にかかるコストの財源として、税以外で直接受け</t>
    <phoneticPr fontId="2"/>
  </si>
  <si>
    <t>入れた収入」以外の収入であっても、当該事業・業務の実施に伴って、発生する収入</t>
    <phoneticPr fontId="2"/>
  </si>
  <si>
    <t>で、当該事業・業務の実施に係るフルコストとその収入の対応関係を見る意味で意義</t>
    <phoneticPr fontId="2"/>
  </si>
  <si>
    <t>があると考えられるものについても「自己収入」として掲記しています。</t>
    <phoneticPr fontId="2"/>
  </si>
  <si>
    <t>　フルコスト等算定事業のコストに対する「自己収入」の割合です。</t>
    <rPh sb="20" eb="22">
      <t>ジコ</t>
    </rPh>
    <phoneticPr fontId="2"/>
  </si>
  <si>
    <t>電話相談件数（件）</t>
    <rPh sb="0" eb="2">
      <t>デンワ</t>
    </rPh>
    <rPh sb="2" eb="4">
      <t>ソウダン</t>
    </rPh>
    <rPh sb="4" eb="6">
      <t>ケンスウ</t>
    </rPh>
    <rPh sb="7" eb="8">
      <t>ケン</t>
    </rPh>
    <phoneticPr fontId="2"/>
  </si>
  <si>
    <t>出入国者数（人）</t>
    <rPh sb="0" eb="2">
      <t>シュツニュウ</t>
    </rPh>
    <rPh sb="2" eb="3">
      <t>コク</t>
    </rPh>
    <rPh sb="3" eb="4">
      <t>シャ</t>
    </rPh>
    <rPh sb="4" eb="5">
      <t>スウ</t>
    </rPh>
    <rPh sb="6" eb="7">
      <t>ニン</t>
    </rPh>
    <phoneticPr fontId="2"/>
  </si>
  <si>
    <t>輸出入許可件数（件）</t>
    <rPh sb="0" eb="3">
      <t>ユシュツニュウ</t>
    </rPh>
    <rPh sb="3" eb="5">
      <t>キョカ</t>
    </rPh>
    <rPh sb="5" eb="7">
      <t>ケンスウ</t>
    </rPh>
    <rPh sb="8" eb="9">
      <t>ケン</t>
    </rPh>
    <phoneticPr fontId="2"/>
  </si>
  <si>
    <t>社会保障・税番号システム整備等業務</t>
    <phoneticPr fontId="2"/>
  </si>
  <si>
    <t>大型放射光施設（SPring-8）の整備・共用事業</t>
    <rPh sb="23" eb="25">
      <t>ジギョウ</t>
    </rPh>
    <phoneticPr fontId="2"/>
  </si>
  <si>
    <t>事業承継・世代交代集中支援事業</t>
    <phoneticPr fontId="2"/>
  </si>
  <si>
    <t>2019年2月1日時点総人口</t>
    <rPh sb="9" eb="11">
      <t>ジテン</t>
    </rPh>
    <rPh sb="11" eb="12">
      <t>ソウ</t>
    </rPh>
    <phoneticPr fontId="10"/>
  </si>
  <si>
    <t>商談件数（件）</t>
  </si>
  <si>
    <t>利用者数（参加事業者数）（社・団体）</t>
  </si>
  <si>
    <t>成約件数（件）</t>
  </si>
  <si>
    <t>利用者数（参加事業者数）（社・団体）</t>
    <rPh sb="0" eb="2">
      <t>リヨウ</t>
    </rPh>
    <rPh sb="2" eb="3">
      <t>シャ</t>
    </rPh>
    <rPh sb="3" eb="4">
      <t>スウ</t>
    </rPh>
    <rPh sb="5" eb="7">
      <t>サンカ</t>
    </rPh>
    <rPh sb="7" eb="9">
      <t>ジギョウ</t>
    </rPh>
    <rPh sb="9" eb="10">
      <t>シャ</t>
    </rPh>
    <rPh sb="10" eb="11">
      <t>スウ</t>
    </rPh>
    <rPh sb="13" eb="14">
      <t>シャ</t>
    </rPh>
    <rPh sb="15" eb="17">
      <t>ダンタイ</t>
    </rPh>
    <phoneticPr fontId="2"/>
  </si>
  <si>
    <t>物にかかるコスト＋庁舎等（減価償却費）</t>
    <rPh sb="0" eb="1">
      <t>モノ</t>
    </rPh>
    <rPh sb="9" eb="11">
      <t>チョウシャ</t>
    </rPh>
    <rPh sb="11" eb="12">
      <t>トウ</t>
    </rPh>
    <rPh sb="13" eb="15">
      <t>ゲンカ</t>
    </rPh>
    <rPh sb="15" eb="17">
      <t>ショウキャク</t>
    </rPh>
    <rPh sb="17" eb="18">
      <t>ヒ</t>
    </rPh>
    <phoneticPr fontId="2"/>
  </si>
  <si>
    <t>人員数（国＋独法津）</t>
    <rPh sb="0" eb="2">
      <t>ジンイン</t>
    </rPh>
    <rPh sb="2" eb="3">
      <t>スウ</t>
    </rPh>
    <rPh sb="4" eb="5">
      <t>クニ</t>
    </rPh>
    <rPh sb="6" eb="8">
      <t>ドッポウ</t>
    </rPh>
    <rPh sb="8" eb="9">
      <t>ツ</t>
    </rPh>
    <phoneticPr fontId="2"/>
  </si>
  <si>
    <t>業務費用（人件費）＋引当外賞与見積額</t>
    <rPh sb="0" eb="2">
      <t>ギョウム</t>
    </rPh>
    <rPh sb="2" eb="4">
      <t>ヒヨウ</t>
    </rPh>
    <rPh sb="5" eb="8">
      <t>ジンケンヒ</t>
    </rPh>
    <rPh sb="10" eb="12">
      <t>ヒキアテ</t>
    </rPh>
    <rPh sb="12" eb="13">
      <t>ガイ</t>
    </rPh>
    <rPh sb="13" eb="15">
      <t>ショウヨ</t>
    </rPh>
    <rPh sb="15" eb="17">
      <t>ミツモリ</t>
    </rPh>
    <rPh sb="17" eb="18">
      <t>ガク</t>
    </rPh>
    <phoneticPr fontId="2"/>
  </si>
  <si>
    <t>「①事業一覧」シートから事業名をコピー・貼り付け or プルダウンから事業名を選択</t>
    <rPh sb="2" eb="4">
      <t>ジギョウ</t>
    </rPh>
    <rPh sb="4" eb="6">
      <t>イチラン</t>
    </rPh>
    <rPh sb="12" eb="14">
      <t>ジギョウ</t>
    </rPh>
    <rPh sb="14" eb="15">
      <t>メイ</t>
    </rPh>
    <rPh sb="20" eb="21">
      <t>ハ</t>
    </rPh>
    <rPh sb="22" eb="23">
      <t>ツ</t>
    </rPh>
    <rPh sb="35" eb="37">
      <t>ジギョウ</t>
    </rPh>
    <rPh sb="37" eb="38">
      <t>メイ</t>
    </rPh>
    <rPh sb="39" eb="41">
      <t>センタク</t>
    </rPh>
    <phoneticPr fontId="2"/>
  </si>
  <si>
    <t>事業名を選択</t>
    <rPh sb="0" eb="2">
      <t>ジギョウ</t>
    </rPh>
    <rPh sb="2" eb="3">
      <t>メイ</t>
    </rPh>
    <rPh sb="4" eb="6">
      <t>センタク</t>
    </rPh>
    <phoneticPr fontId="2"/>
  </si>
  <si>
    <t>--- 「①事業一覧」シートから事業名をコピー＆貼り付け or プルダウンから選択 ---</t>
    <phoneticPr fontId="2"/>
  </si>
  <si>
    <t>計量士国家試験業務</t>
    <rPh sb="3" eb="5">
      <t>コッカ</t>
    </rPh>
    <rPh sb="7" eb="9">
      <t>ギョウム</t>
    </rPh>
    <phoneticPr fontId="2"/>
  </si>
  <si>
    <t>供用面積（ha）</t>
    <rPh sb="0" eb="2">
      <t>キョウヨウ</t>
    </rPh>
    <rPh sb="2" eb="4">
      <t>メンセキ</t>
    </rPh>
    <phoneticPr fontId="2"/>
  </si>
  <si>
    <t>利用者数（人）</t>
    <rPh sb="5" eb="6">
      <t>ニン</t>
    </rPh>
    <phoneticPr fontId="2"/>
  </si>
  <si>
    <t>稼働時間数（時間）</t>
    <rPh sb="6" eb="8">
      <t>ジカン</t>
    </rPh>
    <phoneticPr fontId="2"/>
  </si>
  <si>
    <t>－</t>
  </si>
  <si>
    <t>1,2,9</t>
  </si>
  <si>
    <t>間接型</t>
  </si>
  <si>
    <t>2,10</t>
  </si>
  <si>
    <t>事業承継・世代交代集中支援事業</t>
  </si>
  <si>
    <t>戦略的輸出拡大サポート事業（商談会及び見本市への出展等サポート）</t>
  </si>
  <si>
    <t>出願者数（人）</t>
    <rPh sb="0" eb="3">
      <t>シュツガンシャ</t>
    </rPh>
    <rPh sb="2" eb="3">
      <t>シャ</t>
    </rPh>
    <rPh sb="3" eb="4">
      <t>スウ</t>
    </rPh>
    <rPh sb="5" eb="6">
      <t>ニン</t>
    </rPh>
    <phoneticPr fontId="2"/>
  </si>
  <si>
    <t>出願者数（人）</t>
    <rPh sb="0" eb="2">
      <t>シュツガン</t>
    </rPh>
    <rPh sb="2" eb="3">
      <t>シャ</t>
    </rPh>
    <rPh sb="3" eb="4">
      <t>スウ</t>
    </rPh>
    <rPh sb="5" eb="6">
      <t>ニン</t>
    </rPh>
    <phoneticPr fontId="2"/>
  </si>
  <si>
    <t>平成30年度決算分</t>
    <rPh sb="0" eb="2">
      <t>ヘイセイ</t>
    </rPh>
    <rPh sb="4" eb="6">
      <t>ネンド</t>
    </rPh>
    <rPh sb="6" eb="8">
      <t>ケッサン</t>
    </rPh>
    <rPh sb="8" eb="9">
      <t>ブン</t>
    </rPh>
    <phoneticPr fontId="2"/>
  </si>
  <si>
    <t>平成30年度</t>
    <rPh sb="0" eb="2">
      <t>ヘイセイ</t>
    </rPh>
    <rPh sb="4" eb="6">
      <t>ネンド</t>
    </rPh>
    <phoneticPr fontId="2"/>
  </si>
  <si>
    <t>平成30年度　退職手当に係る退職給付引当金繰入額</t>
    <rPh sb="0" eb="2">
      <t>ヘイセイ</t>
    </rPh>
    <rPh sb="4" eb="6">
      <t>ネンド</t>
    </rPh>
    <phoneticPr fontId="11"/>
  </si>
  <si>
    <r>
      <t>令和元年</t>
    </r>
    <r>
      <rPr>
        <sz val="10.5"/>
        <rFont val="Century"/>
        <family val="1"/>
      </rPr>
      <t>6</t>
    </r>
    <r>
      <rPr>
        <sz val="10.5"/>
        <rFont val="ＭＳ 明朝"/>
        <family val="1"/>
        <charset val="128"/>
      </rPr>
      <t>月期の期末・勤勉手当</t>
    </r>
    <r>
      <rPr>
        <sz val="10.5"/>
        <rFont val="Century"/>
        <family val="1"/>
      </rPr>
      <t>(4/6)</t>
    </r>
    <rPh sb="0" eb="2">
      <t>レイワ</t>
    </rPh>
    <rPh sb="2" eb="3">
      <t>ガン</t>
    </rPh>
    <phoneticPr fontId="11"/>
  </si>
  <si>
    <t>679,100×4/6=452,733</t>
    <phoneticPr fontId="11"/>
  </si>
  <si>
    <r>
      <t>401,006,909,542/</t>
    </r>
    <r>
      <rPr>
        <sz val="10.5"/>
        <rFont val="ＭＳ Ｐ明朝"/>
        <family val="1"/>
        <charset val="128"/>
      </rPr>
      <t>職員数（</t>
    </r>
    <r>
      <rPr>
        <sz val="10.5"/>
        <rFont val="Century"/>
        <family val="1"/>
      </rPr>
      <t>549,164</t>
    </r>
    <r>
      <rPr>
        <sz val="10.5"/>
        <rFont val="ＭＳ Ｐ明朝"/>
        <family val="1"/>
        <charset val="128"/>
      </rPr>
      <t>人）</t>
    </r>
    <phoneticPr fontId="11"/>
  </si>
  <si>
    <t>（注）人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33" eb="35">
      <t>ギョウム</t>
    </rPh>
    <rPh sb="47" eb="49">
      <t>ギョウム</t>
    </rPh>
    <rPh sb="84" eb="86">
      <t>ギョウム</t>
    </rPh>
    <phoneticPr fontId="11"/>
  </si>
  <si>
    <t>　　　なお、「通関業務」においては、「通関業務」の規模感が推測可能となり、水際取締りに支障をきたす可能性があるため非表示としています。</t>
    <rPh sb="19" eb="21">
      <t>ツウカン</t>
    </rPh>
    <rPh sb="21" eb="23">
      <t>ギョウム</t>
    </rPh>
    <phoneticPr fontId="11"/>
  </si>
  <si>
    <t>事業参加人数</t>
  </si>
  <si>
    <t>直接行政サービス事業（間接型）</t>
    <rPh sb="11" eb="13">
      <t>カンセツ</t>
    </rPh>
    <phoneticPr fontId="2"/>
  </si>
  <si>
    <t>研修開催数（回）</t>
    <rPh sb="6" eb="7">
      <t>カイ</t>
    </rPh>
    <phoneticPr fontId="2"/>
  </si>
  <si>
    <t>（その他）損益外減損損失相当額等</t>
    <rPh sb="3" eb="4">
      <t>タ</t>
    </rPh>
    <rPh sb="5" eb="7">
      <t>ソンエキ</t>
    </rPh>
    <rPh sb="7" eb="8">
      <t>ガイ</t>
    </rPh>
    <rPh sb="8" eb="10">
      <t>ゲンソン</t>
    </rPh>
    <rPh sb="10" eb="12">
      <t>ソンシツ</t>
    </rPh>
    <rPh sb="12" eb="14">
      <t>ソウトウ</t>
    </rPh>
    <rPh sb="14" eb="15">
      <t>ガク</t>
    </rPh>
    <rPh sb="15" eb="16">
      <t>トウ</t>
    </rPh>
    <phoneticPr fontId="2"/>
  </si>
  <si>
    <t>補助件数</t>
  </si>
  <si>
    <t>防衛問題セミナー来場者数（人）</t>
    <rPh sb="13" eb="14">
      <t>ニン</t>
    </rPh>
    <phoneticPr fontId="2"/>
  </si>
  <si>
    <t>新幹線トンネル対策距離</t>
  </si>
  <si>
    <t>高速道路及び直轄国道トンネル対策距離</t>
  </si>
  <si>
    <t>電波遮へい対策事業　統合版（①新幹線トンネル、②道路トンネル）</t>
    <phoneticPr fontId="2"/>
  </si>
  <si>
    <t>電波遮へい対策事業　（①新幹線トンネル）</t>
    <phoneticPr fontId="2"/>
  </si>
  <si>
    <t>電波遮へい対策事業　（②道路トンネル）</t>
    <phoneticPr fontId="2"/>
  </si>
  <si>
    <t>人権相談業務</t>
    <rPh sb="0" eb="2">
      <t>ジンケン</t>
    </rPh>
    <rPh sb="2" eb="4">
      <t>ソウダン</t>
    </rPh>
    <rPh sb="4" eb="6">
      <t>ギョウム</t>
    </rPh>
    <phoneticPr fontId="2"/>
  </si>
  <si>
    <t>人権相談業務</t>
    <rPh sb="0" eb="2">
      <t>ジンケン</t>
    </rPh>
    <rPh sb="2" eb="4">
      <t>ソウダン</t>
    </rPh>
    <rPh sb="4" eb="6">
      <t>ギョウム</t>
    </rPh>
    <phoneticPr fontId="2"/>
  </si>
  <si>
    <t>出願者数（人）</t>
    <rPh sb="0" eb="4">
      <t>シュツガンシャスウ</t>
    </rPh>
    <rPh sb="5" eb="6">
      <t>ニン</t>
    </rPh>
    <phoneticPr fontId="2"/>
  </si>
  <si>
    <t>予算要求</t>
    <rPh sb="0" eb="2">
      <t>ヨサン</t>
    </rPh>
    <rPh sb="2" eb="4">
      <t>ヨウキュウ</t>
    </rPh>
    <phoneticPr fontId="2"/>
  </si>
  <si>
    <t>予算要求
との比較</t>
    <rPh sb="0" eb="2">
      <t>ヨサン</t>
    </rPh>
    <rPh sb="2" eb="4">
      <t>ヨウキュウ</t>
    </rPh>
    <rPh sb="7" eb="9">
      <t>ヒカク</t>
    </rPh>
    <phoneticPr fontId="2"/>
  </si>
  <si>
    <t>輸出入植物検疫件数（件）</t>
    <phoneticPr fontId="2"/>
  </si>
  <si>
    <t>輸出入植物検疫件数（件）</t>
    <phoneticPr fontId="2"/>
  </si>
  <si>
    <t>資源評価対象魚種数（魚種）</t>
    <rPh sb="0" eb="2">
      <t>シゲン</t>
    </rPh>
    <rPh sb="2" eb="4">
      <t>ヒョウカ</t>
    </rPh>
    <rPh sb="4" eb="6">
      <t>タイショウ</t>
    </rPh>
    <rPh sb="6" eb="7">
      <t>サカナ</t>
    </rPh>
    <rPh sb="8" eb="9">
      <t>スウ</t>
    </rPh>
    <rPh sb="10" eb="11">
      <t>ギョ</t>
    </rPh>
    <rPh sb="11" eb="12">
      <t>シュ</t>
    </rPh>
    <phoneticPr fontId="2"/>
  </si>
  <si>
    <t>引受件数（件）</t>
    <rPh sb="5" eb="6">
      <t>ケン</t>
    </rPh>
    <phoneticPr fontId="2"/>
  </si>
  <si>
    <t>報道件数（件）</t>
    <rPh sb="5" eb="6">
      <t>ケン</t>
    </rPh>
    <phoneticPr fontId="2"/>
  </si>
  <si>
    <t>自己収入比率（類型ごとの平均）</t>
    <rPh sb="0" eb="2">
      <t>ジコ</t>
    </rPh>
    <rPh sb="2" eb="4">
      <t>シュウニュウ</t>
    </rPh>
    <rPh sb="4" eb="6">
      <t>ヒリツ</t>
    </rPh>
    <rPh sb="7" eb="9">
      <t>ルイケイ</t>
    </rPh>
    <rPh sb="12" eb="14">
      <t>ヘイキン</t>
    </rPh>
    <phoneticPr fontId="2"/>
  </si>
  <si>
    <t>間接コスト率（類型ごとの平均）</t>
    <rPh sb="0" eb="2">
      <t>カンセツ</t>
    </rPh>
    <rPh sb="5" eb="6">
      <t>リツ</t>
    </rPh>
    <rPh sb="6" eb="7">
      <t>シュウリツ</t>
    </rPh>
    <rPh sb="7" eb="9">
      <t>ルイケイ</t>
    </rPh>
    <rPh sb="12" eb="14">
      <t>ヘイキン</t>
    </rPh>
    <phoneticPr fontId="2"/>
  </si>
  <si>
    <t>人件費比率（類型ごとの平均）</t>
    <rPh sb="0" eb="3">
      <t>ジンケンヒ</t>
    </rPh>
    <rPh sb="3" eb="5">
      <t>ヒリツ</t>
    </rPh>
    <rPh sb="6" eb="8">
      <t>ルイケイ</t>
    </rPh>
    <rPh sb="11" eb="13">
      <t>ヘイキン</t>
    </rPh>
    <phoneticPr fontId="2"/>
  </si>
  <si>
    <t>（注２）　「予算要求」、「査定案」については、一定の仮定の下で算定した概ねのフルコスト情報を表示する欄です。</t>
    <rPh sb="1" eb="2">
      <t>チュウ</t>
    </rPh>
    <rPh sb="6" eb="8">
      <t>ヨサン</t>
    </rPh>
    <rPh sb="8" eb="10">
      <t>ヨウキュウ</t>
    </rPh>
    <rPh sb="13" eb="15">
      <t>サテイ</t>
    </rPh>
    <rPh sb="15" eb="16">
      <t>アン</t>
    </rPh>
    <rPh sb="23" eb="25">
      <t>イッテイ</t>
    </rPh>
    <rPh sb="26" eb="28">
      <t>カテイ</t>
    </rPh>
    <rPh sb="29" eb="30">
      <t>シタ</t>
    </rPh>
    <rPh sb="31" eb="33">
      <t>サンテイ</t>
    </rPh>
    <rPh sb="35" eb="36">
      <t>オオム</t>
    </rPh>
    <rPh sb="43" eb="45">
      <t>ジョウホウ</t>
    </rPh>
    <rPh sb="46" eb="48">
      <t>ヒョウジ</t>
    </rPh>
    <rPh sb="50" eb="51">
      <t>ラン</t>
    </rPh>
    <phoneticPr fontId="2"/>
  </si>
  <si>
    <t>令和元年度</t>
    <rPh sb="0" eb="2">
      <t>レイワ</t>
    </rPh>
    <rPh sb="2" eb="4">
      <t>ガンネン</t>
    </rPh>
    <rPh sb="4" eb="5">
      <t>ド</t>
    </rPh>
    <phoneticPr fontId="2"/>
  </si>
  <si>
    <t>令和元年度
決算</t>
    <rPh sb="0" eb="2">
      <t>レイワ</t>
    </rPh>
    <rPh sb="2" eb="4">
      <t>ガンネン</t>
    </rPh>
    <rPh sb="4" eb="5">
      <t>ド</t>
    </rPh>
    <rPh sb="6" eb="8">
      <t>ケッサン</t>
    </rPh>
    <phoneticPr fontId="2"/>
  </si>
  <si>
    <t>令和元年度
決算</t>
    <phoneticPr fontId="2"/>
  </si>
  <si>
    <t>令和元年度決算
との比較</t>
    <rPh sb="3" eb="5">
      <t>ネンド</t>
    </rPh>
    <rPh sb="5" eb="7">
      <t>ケッサン</t>
    </rPh>
    <rPh sb="10" eb="12">
      <t>ヒカク</t>
    </rPh>
    <phoneticPr fontId="2"/>
  </si>
  <si>
    <t>比較対象
事業の
令和元年度決算</t>
    <rPh sb="0" eb="2">
      <t>ヒカク</t>
    </rPh>
    <rPh sb="2" eb="4">
      <t>タイショウ</t>
    </rPh>
    <rPh sb="5" eb="7">
      <t>ジギョウ</t>
    </rPh>
    <rPh sb="12" eb="14">
      <t>ネンド</t>
    </rPh>
    <rPh sb="14" eb="16">
      <t>ケッサン</t>
    </rPh>
    <phoneticPr fontId="2"/>
  </si>
  <si>
    <t>６か年平均</t>
    <rPh sb="2" eb="3">
      <t>ネン</t>
    </rPh>
    <rPh sb="3" eb="5">
      <t>ヘイキン</t>
    </rPh>
    <phoneticPr fontId="2"/>
  </si>
  <si>
    <t>（注１）　「６か年」については、事業開始年度等により、算定年度が６か年になっていない事業がありますので、その場合、当該欄はフルコストが算定されている年度の平均となります。</t>
    <rPh sb="1" eb="2">
      <t>チュウ</t>
    </rPh>
    <rPh sb="8" eb="9">
      <t>ネン</t>
    </rPh>
    <rPh sb="16" eb="18">
      <t>ジギョウ</t>
    </rPh>
    <rPh sb="18" eb="20">
      <t>カイシ</t>
    </rPh>
    <rPh sb="20" eb="22">
      <t>ネンド</t>
    </rPh>
    <rPh sb="22" eb="23">
      <t>トウ</t>
    </rPh>
    <rPh sb="27" eb="29">
      <t>サンテイ</t>
    </rPh>
    <rPh sb="29" eb="31">
      <t>ネンド</t>
    </rPh>
    <rPh sb="34" eb="35">
      <t>ネン</t>
    </rPh>
    <rPh sb="42" eb="44">
      <t>ジギョウ</t>
    </rPh>
    <rPh sb="54" eb="56">
      <t>バアイ</t>
    </rPh>
    <rPh sb="57" eb="59">
      <t>トウガイ</t>
    </rPh>
    <rPh sb="59" eb="60">
      <t>ラン</t>
    </rPh>
    <rPh sb="67" eb="69">
      <t>サンテイ</t>
    </rPh>
    <rPh sb="74" eb="76">
      <t>ネンド</t>
    </rPh>
    <rPh sb="77" eb="79">
      <t>ヘイキン</t>
    </rPh>
    <phoneticPr fontId="2"/>
  </si>
  <si>
    <t>令和元年度決算
との比較</t>
    <rPh sb="5" eb="7">
      <t>ケッサン</t>
    </rPh>
    <rPh sb="10" eb="12">
      <t>ヒカク</t>
    </rPh>
    <phoneticPr fontId="2"/>
  </si>
  <si>
    <t>比較対象
事業の
令和元年度決算</t>
    <rPh sb="0" eb="2">
      <t>ヒカク</t>
    </rPh>
    <rPh sb="2" eb="4">
      <t>タイショウ</t>
    </rPh>
    <rPh sb="5" eb="7">
      <t>ジギョウ</t>
    </rPh>
    <rPh sb="14" eb="16">
      <t>ケッサン</t>
    </rPh>
    <phoneticPr fontId="2"/>
  </si>
  <si>
    <t>総務省</t>
    <phoneticPr fontId="2"/>
  </si>
  <si>
    <t>電波遮へい対策事業　（③在来線トンネル）</t>
  </si>
  <si>
    <t>電波遮へい対策事業　（③在来線トンネル）</t>
    <phoneticPr fontId="2"/>
  </si>
  <si>
    <t>直接行政サービス事業</t>
    <phoneticPr fontId="2"/>
  </si>
  <si>
    <t>直接型</t>
    <phoneticPr fontId="2"/>
  </si>
  <si>
    <t>総務省</t>
    <rPh sb="0" eb="3">
      <t>ソウムショウ</t>
    </rPh>
    <phoneticPr fontId="2"/>
  </si>
  <si>
    <t>直接型</t>
    <rPh sb="0" eb="2">
      <t>チョクセツ</t>
    </rPh>
    <rPh sb="2" eb="3">
      <t>ガタ</t>
    </rPh>
    <phoneticPr fontId="2"/>
  </si>
  <si>
    <t>直接行政サービス事業</t>
    <rPh sb="0" eb="2">
      <t>チョクセツ</t>
    </rPh>
    <rPh sb="2" eb="4">
      <t>ギョウセイ</t>
    </rPh>
    <rPh sb="8" eb="10">
      <t>ジギョウ</t>
    </rPh>
    <phoneticPr fontId="2"/>
  </si>
  <si>
    <t>直接型</t>
    <rPh sb="0" eb="3">
      <t>チョクセツガタ</t>
    </rPh>
    <phoneticPr fontId="2"/>
  </si>
  <si>
    <t>電波遮へい対策事業　統合版（①新幹線トンネル、②道路トンネル、③在来線トンネル）</t>
    <phoneticPr fontId="2"/>
  </si>
  <si>
    <t>電波遮へい対策事業　（③在来線トンネル）</t>
    <phoneticPr fontId="2"/>
  </si>
  <si>
    <t>令和元年度</t>
    <rPh sb="0" eb="2">
      <t>レイワ</t>
    </rPh>
    <rPh sb="2" eb="3">
      <t>ガン</t>
    </rPh>
    <phoneticPr fontId="11"/>
  </si>
  <si>
    <t>令和元年　国家公務員給与等実態調査</t>
    <rPh sb="0" eb="2">
      <t>レイワ</t>
    </rPh>
    <rPh sb="2" eb="4">
      <t>ガンネン</t>
    </rPh>
    <phoneticPr fontId="11"/>
  </si>
  <si>
    <r>
      <t>417,683</t>
    </r>
    <r>
      <rPr>
        <sz val="10.5"/>
        <rFont val="ＭＳ 明朝"/>
        <family val="1"/>
        <charset val="128"/>
      </rPr>
      <t>×</t>
    </r>
    <r>
      <rPr>
        <sz val="10.5"/>
        <rFont val="Century"/>
        <family val="1"/>
      </rPr>
      <t>12=</t>
    </r>
    <phoneticPr fontId="11"/>
  </si>
  <si>
    <r>
      <t>①令和元年</t>
    </r>
    <r>
      <rPr>
        <sz val="10.5"/>
        <rFont val="Century"/>
        <family val="1"/>
      </rPr>
      <t>6</t>
    </r>
    <r>
      <rPr>
        <sz val="10.5"/>
        <rFont val="ＭＳ 明朝"/>
        <family val="1"/>
        <charset val="128"/>
      </rPr>
      <t>月期の期末・勤勉手当</t>
    </r>
    <r>
      <rPr>
        <sz val="10.5"/>
        <rFont val="Century"/>
        <family val="1"/>
      </rPr>
      <t>(2/6)</t>
    </r>
    <rPh sb="1" eb="3">
      <t>レイワ</t>
    </rPh>
    <rPh sb="3" eb="4">
      <t>ガン</t>
    </rPh>
    <phoneticPr fontId="11"/>
  </si>
  <si>
    <r>
      <t>679,100</t>
    </r>
    <r>
      <rPr>
        <sz val="10.5"/>
        <rFont val="ＭＳ 明朝"/>
        <family val="1"/>
        <charset val="128"/>
      </rPr>
      <t>×</t>
    </r>
    <r>
      <rPr>
        <sz val="10.5"/>
        <rFont val="Century"/>
        <family val="1"/>
      </rPr>
      <t>2/6=226,367</t>
    </r>
    <phoneticPr fontId="11"/>
  </si>
  <si>
    <r>
      <t>②令和元年</t>
    </r>
    <r>
      <rPr>
        <sz val="10.5"/>
        <rFont val="Century"/>
        <family val="1"/>
      </rPr>
      <t>12</t>
    </r>
    <r>
      <rPr>
        <sz val="10.5"/>
        <rFont val="ＭＳ 明朝"/>
        <family val="1"/>
        <charset val="128"/>
      </rPr>
      <t>月期の期末・勤勉手当</t>
    </r>
    <rPh sb="1" eb="3">
      <t>レイワ</t>
    </rPh>
    <rPh sb="3" eb="4">
      <t>ガン</t>
    </rPh>
    <phoneticPr fontId="11"/>
  </si>
  <si>
    <t>令和元年度　退職手当に係る退職給付引当金繰入額</t>
    <rPh sb="0" eb="2">
      <t>レイワ</t>
    </rPh>
    <rPh sb="2" eb="4">
      <t>ガンネン</t>
    </rPh>
    <rPh sb="3" eb="5">
      <t>ネンド</t>
    </rPh>
    <phoneticPr fontId="11"/>
  </si>
  <si>
    <r>
      <t>令和２年</t>
    </r>
    <r>
      <rPr>
        <sz val="10.5"/>
        <rFont val="Century"/>
        <family val="1"/>
      </rPr>
      <t>6</t>
    </r>
    <r>
      <rPr>
        <sz val="10.5"/>
        <rFont val="ＭＳ 明朝"/>
        <family val="1"/>
        <charset val="128"/>
      </rPr>
      <t>月期の期末・勤勉手当</t>
    </r>
    <r>
      <rPr>
        <sz val="10.5"/>
        <rFont val="Century"/>
        <family val="1"/>
      </rPr>
      <t>(4/6)</t>
    </r>
    <rPh sb="0" eb="2">
      <t>レイワ</t>
    </rPh>
    <phoneticPr fontId="11"/>
  </si>
  <si>
    <t>680,100×4/6=45,400</t>
    <phoneticPr fontId="11"/>
  </si>
  <si>
    <r>
      <t>314,619,725,969/</t>
    </r>
    <r>
      <rPr>
        <sz val="10.5"/>
        <color theme="1"/>
        <rFont val="ＭＳ Ｐ明朝"/>
        <family val="1"/>
        <charset val="128"/>
      </rPr>
      <t>職員数（548,762人）</t>
    </r>
    <phoneticPr fontId="11"/>
  </si>
  <si>
    <t>(単位：円）</t>
    <phoneticPr fontId="2"/>
  </si>
  <si>
    <t>令和元年度
政策番号</t>
    <rPh sb="0" eb="2">
      <t>レイワ</t>
    </rPh>
    <rPh sb="2" eb="4">
      <t>ガンネン</t>
    </rPh>
    <rPh sb="3" eb="5">
      <t>ネンド</t>
    </rPh>
    <rPh sb="6" eb="8">
      <t>セイサク</t>
    </rPh>
    <rPh sb="8" eb="10">
      <t>バンゴウ</t>
    </rPh>
    <phoneticPr fontId="2"/>
  </si>
  <si>
    <t>平成26年度
決算</t>
    <rPh sb="0" eb="2">
      <t>ヘイセイ</t>
    </rPh>
    <rPh sb="4" eb="6">
      <t>ネンド</t>
    </rPh>
    <rPh sb="7" eb="9">
      <t>ケッサン</t>
    </rPh>
    <phoneticPr fontId="2"/>
  </si>
  <si>
    <t>平成27年度
決算</t>
    <rPh sb="0" eb="2">
      <t>ヘイセイ</t>
    </rPh>
    <rPh sb="4" eb="6">
      <t>ネンド</t>
    </rPh>
    <rPh sb="7" eb="9">
      <t>ケッサン</t>
    </rPh>
    <phoneticPr fontId="2"/>
  </si>
  <si>
    <t>平成28年度
決算</t>
    <rPh sb="0" eb="2">
      <t>ヘイセイ</t>
    </rPh>
    <rPh sb="4" eb="6">
      <t>ネンド</t>
    </rPh>
    <rPh sb="7" eb="9">
      <t>ケッサン</t>
    </rPh>
    <phoneticPr fontId="2"/>
  </si>
  <si>
    <t>平成29年度
決算</t>
    <rPh sb="0" eb="2">
      <t>ヘイセイ</t>
    </rPh>
    <rPh sb="4" eb="6">
      <t>ネンド</t>
    </rPh>
    <rPh sb="7" eb="9">
      <t>ケッサン</t>
    </rPh>
    <phoneticPr fontId="2"/>
  </si>
  <si>
    <t>平成30年度
決算</t>
    <rPh sb="0" eb="2">
      <t>ヘイセイ</t>
    </rPh>
    <rPh sb="4" eb="6">
      <t>ネンド</t>
    </rPh>
    <rPh sb="7" eb="9">
      <t>ケッサン</t>
    </rPh>
    <phoneticPr fontId="2"/>
  </si>
  <si>
    <t>（注３）　初期表示においては、事業コストの（内訳）の４行は、グループ化により非表示となっております。</t>
    <rPh sb="1" eb="2">
      <t>チュウ</t>
    </rPh>
    <rPh sb="5" eb="7">
      <t>ショキ</t>
    </rPh>
    <rPh sb="7" eb="9">
      <t>ヒョウジ</t>
    </rPh>
    <rPh sb="15" eb="17">
      <t>ジギョウ</t>
    </rPh>
    <rPh sb="22" eb="24">
      <t>ウチワケ</t>
    </rPh>
    <rPh sb="27" eb="28">
      <t>ギョウ</t>
    </rPh>
    <phoneticPr fontId="2"/>
  </si>
  <si>
    <t>令和元年度決算同類型平均</t>
    <rPh sb="0" eb="2">
      <t>レイワ</t>
    </rPh>
    <rPh sb="2" eb="3">
      <t>ガン</t>
    </rPh>
    <rPh sb="3" eb="5">
      <t>ネンド</t>
    </rPh>
    <rPh sb="5" eb="7">
      <t>ケッサン</t>
    </rPh>
    <rPh sb="7" eb="8">
      <t>ドウ</t>
    </rPh>
    <rPh sb="8" eb="10">
      <t>ルイケイ</t>
    </rPh>
    <rPh sb="10" eb="12">
      <t>ヘイキン</t>
    </rPh>
    <phoneticPr fontId="2"/>
  </si>
  <si>
    <t>（注４）　「令和元年度決算同類型平均」については、単純平均のため、類似事業を絞り込みたいときは、適宜入力。</t>
    <rPh sb="1" eb="2">
      <t>チュウ</t>
    </rPh>
    <rPh sb="6" eb="8">
      <t>レイワ</t>
    </rPh>
    <rPh sb="8" eb="9">
      <t>ガン</t>
    </rPh>
    <rPh sb="9" eb="11">
      <t>ネンド</t>
    </rPh>
    <rPh sb="11" eb="13">
      <t>ケッサン</t>
    </rPh>
    <rPh sb="13" eb="14">
      <t>ドウ</t>
    </rPh>
    <rPh sb="14" eb="16">
      <t>ルイケイ</t>
    </rPh>
    <rPh sb="16" eb="18">
      <t>ヘイキン</t>
    </rPh>
    <rPh sb="25" eb="27">
      <t>タンジュン</t>
    </rPh>
    <rPh sb="27" eb="29">
      <t>ヘイキン</t>
    </rPh>
    <rPh sb="33" eb="35">
      <t>ルイジ</t>
    </rPh>
    <rPh sb="35" eb="37">
      <t>ジギョウ</t>
    </rPh>
    <rPh sb="38" eb="39">
      <t>シボ</t>
    </rPh>
    <rPh sb="40" eb="41">
      <t>コ</t>
    </rPh>
    <rPh sb="48" eb="50">
      <t>テキギ</t>
    </rPh>
    <rPh sb="50" eb="52">
      <t>ニュウリョク</t>
    </rPh>
    <phoneticPr fontId="2"/>
  </si>
  <si>
    <t>【留意事項】</t>
    <phoneticPr fontId="2"/>
  </si>
  <si>
    <t>・</t>
    <phoneticPr fontId="2"/>
  </si>
  <si>
    <t>データベースにおける計数については、原則として表示単位未満切り捨てで処理しております。</t>
    <phoneticPr fontId="2"/>
  </si>
  <si>
    <t>このため、合計額が一致しないことがあります。</t>
    <phoneticPr fontId="2"/>
  </si>
  <si>
    <t>該当計数が皆無の場合には空欄としています。</t>
    <rPh sb="12" eb="14">
      <t>クウラン</t>
    </rPh>
    <phoneticPr fontId="2"/>
  </si>
  <si>
    <t>平成27年度の「退職給付引当金繰入額」については、平成25年1月から平成26年7月にかけて</t>
    <phoneticPr fontId="2"/>
  </si>
  <si>
    <t>段階的に行われた退職手当の支給水準の引き下げの影響による退職給付引当金繰入額の</t>
    <phoneticPr fontId="2"/>
  </si>
  <si>
    <t>減少効果が、段階的引き下げの完了により無くなったこと等により、個別の事業・業務毎の</t>
    <phoneticPr fontId="2"/>
  </si>
  <si>
    <t>要因とは関係なく、増加している場合があります。</t>
    <phoneticPr fontId="2"/>
  </si>
  <si>
    <t>令和元年度については、新型コロナウイルス感染症により、事業コスト等に影響が生じている</t>
    <phoneticPr fontId="2"/>
  </si>
  <si>
    <t>場合があります。</t>
    <phoneticPr fontId="2"/>
  </si>
  <si>
    <t>・</t>
    <phoneticPr fontId="2"/>
  </si>
  <si>
    <t>令和元年度決算分</t>
    <rPh sb="0" eb="2">
      <t>レイワ</t>
    </rPh>
    <rPh sb="2" eb="3">
      <t>ガン</t>
    </rPh>
    <rPh sb="3" eb="5">
      <t>ネンド</t>
    </rPh>
    <rPh sb="5" eb="7">
      <t>ケッサン</t>
    </rPh>
    <rPh sb="7" eb="8">
      <t>ブン</t>
    </rPh>
    <phoneticPr fontId="2"/>
  </si>
  <si>
    <t>減価償却相当額（損益外減価償却相当額）</t>
    <rPh sb="8" eb="10">
      <t>ソンエキ</t>
    </rPh>
    <rPh sb="10" eb="11">
      <t>ガイ</t>
    </rPh>
    <rPh sb="11" eb="13">
      <t>ゲンカ</t>
    </rPh>
    <rPh sb="13" eb="15">
      <t>ショウキャク</t>
    </rPh>
    <rPh sb="15" eb="17">
      <t>ソウトウ</t>
    </rPh>
    <rPh sb="17" eb="18">
      <t>ガク</t>
    </rPh>
    <phoneticPr fontId="2"/>
  </si>
  <si>
    <t>引当外賞与見積額</t>
    <phoneticPr fontId="2"/>
  </si>
  <si>
    <t>16 ＝11＋13</t>
  </si>
  <si>
    <t>20
=14+15+16+17+18</t>
  </si>
  <si>
    <t>21 = 9+20</t>
  </si>
  <si>
    <t>23 ＝22÷21</t>
  </si>
  <si>
    <t>32 ＝21÷25</t>
  </si>
  <si>
    <t>33 ＝21÷27</t>
  </si>
  <si>
    <t>34 ＝21÷29</t>
  </si>
  <si>
    <t>35 ＝21÷31</t>
  </si>
  <si>
    <t>40 ＝21÷39</t>
  </si>
  <si>
    <t>41
＝（4＋14＋15）
÷21</t>
  </si>
  <si>
    <t>６ヶ年平均</t>
    <rPh sb="2" eb="3">
      <t>ネン</t>
    </rPh>
    <rPh sb="3" eb="5">
      <t>ヘイキン</t>
    </rPh>
    <phoneticPr fontId="2"/>
  </si>
  <si>
    <t>人員１人当たりコスト（6ヶ年平均）</t>
    <rPh sb="0" eb="2">
      <t>ジンイン</t>
    </rPh>
    <rPh sb="3" eb="4">
      <t>ヒト</t>
    </rPh>
    <rPh sb="4" eb="5">
      <t>ア</t>
    </rPh>
    <rPh sb="13" eb="14">
      <t>ネン</t>
    </rPh>
    <rPh sb="14" eb="16">
      <t>ヘイキン</t>
    </rPh>
    <phoneticPr fontId="2"/>
  </si>
  <si>
    <t>類似事業の
令和元度決算</t>
    <rPh sb="0" eb="2">
      <t>ルイジ</t>
    </rPh>
    <rPh sb="2" eb="4">
      <t>ジギョウ</t>
    </rPh>
    <rPh sb="6" eb="8">
      <t>レイワ</t>
    </rPh>
    <rPh sb="8" eb="9">
      <t>ガン</t>
    </rPh>
    <rPh sb="9" eb="10">
      <t>ド</t>
    </rPh>
    <rPh sb="10" eb="12">
      <t>ケッサン</t>
    </rPh>
    <phoneticPr fontId="2"/>
  </si>
  <si>
    <t>←人員数×平均給与額等（令和元年度）</t>
    <rPh sb="1" eb="3">
      <t>ジンイン</t>
    </rPh>
    <rPh sb="3" eb="4">
      <t>スウ</t>
    </rPh>
    <rPh sb="5" eb="7">
      <t>ヘイキン</t>
    </rPh>
    <rPh sb="7" eb="10">
      <t>キュウヨガク</t>
    </rPh>
    <rPh sb="10" eb="11">
      <t>トウ</t>
    </rPh>
    <rPh sb="12" eb="14">
      <t>レイワ</t>
    </rPh>
    <rPh sb="14" eb="15">
      <t>ガン</t>
    </rPh>
    <rPh sb="15" eb="17">
      <t>ネンド</t>
    </rPh>
    <phoneticPr fontId="2"/>
  </si>
  <si>
    <t>←人員数×人員１人当たりのコスト（６ヶ年平均）</t>
    <rPh sb="1" eb="3">
      <t>ジンイン</t>
    </rPh>
    <rPh sb="3" eb="4">
      <t>スウ</t>
    </rPh>
    <rPh sb="5" eb="7">
      <t>ジンイン</t>
    </rPh>
    <rPh sb="8" eb="9">
      <t>ヒト</t>
    </rPh>
    <rPh sb="9" eb="10">
      <t>ア</t>
    </rPh>
    <rPh sb="19" eb="20">
      <t>ネン</t>
    </rPh>
    <rPh sb="20" eb="22">
      <t>ヘイキン</t>
    </rPh>
    <phoneticPr fontId="2"/>
  </si>
  <si>
    <t>←フルコスト等合計／年間日数</t>
    <rPh sb="6" eb="7">
      <t>トウ</t>
    </rPh>
    <rPh sb="7" eb="9">
      <t>ゴウケイ</t>
    </rPh>
    <rPh sb="10" eb="12">
      <t>ネンカン</t>
    </rPh>
    <rPh sb="12" eb="14">
      <t>ニッスウ</t>
    </rPh>
    <phoneticPr fontId="2"/>
  </si>
  <si>
    <t>--- 「①事業一覧」シートから事業名をコピー＆貼り付け or プルダウンから選択 ---</t>
  </si>
  <si>
    <t>輸出入植物検疫件数（件）</t>
  </si>
  <si>
    <t>（その他）減損損失相当額等（損益外減損損失相当額等）</t>
    <rPh sb="3" eb="4">
      <t>タ</t>
    </rPh>
    <rPh sb="5" eb="7">
      <t>ゲンソン</t>
    </rPh>
    <rPh sb="7" eb="9">
      <t>ソンシツ</t>
    </rPh>
    <rPh sb="9" eb="11">
      <t>ソウトウ</t>
    </rPh>
    <rPh sb="11" eb="12">
      <t>ガク</t>
    </rPh>
    <rPh sb="12" eb="13">
      <t>トウ</t>
    </rPh>
    <phoneticPr fontId="2"/>
  </si>
  <si>
    <t>自治体への斡旋件数（件）</t>
    <rPh sb="10" eb="11">
      <t>ケン</t>
    </rPh>
    <phoneticPr fontId="2"/>
  </si>
  <si>
    <t>新幹線トンネル対策距離（km）</t>
    <phoneticPr fontId="2"/>
  </si>
  <si>
    <t>一元化システム数（件）</t>
    <phoneticPr fontId="2"/>
  </si>
  <si>
    <t>調査数（件）</t>
    <phoneticPr fontId="2"/>
  </si>
  <si>
    <t>受給者数（人）</t>
    <rPh sb="5" eb="6">
      <t>ヒト</t>
    </rPh>
    <phoneticPr fontId="2"/>
  </si>
  <si>
    <t>高速道路及び直轄国道トンネル対策距離（km）</t>
  </si>
  <si>
    <t>高速道路及び直轄国道トンネル対策距離（km）</t>
    <phoneticPr fontId="2"/>
  </si>
  <si>
    <t>在来線トンネル対策距離（km）</t>
  </si>
  <si>
    <t>在来線トンネル対策距離（km）</t>
    <phoneticPr fontId="2"/>
  </si>
  <si>
    <t>来場者数（人）</t>
    <rPh sb="5" eb="6">
      <t>ヒト</t>
    </rPh>
    <phoneticPr fontId="2"/>
  </si>
  <si>
    <t>ステーション数
（ステーション）</t>
    <rPh sb="6" eb="7">
      <t>スウ</t>
    </rPh>
    <phoneticPr fontId="2"/>
  </si>
  <si>
    <t>報道件数（件）</t>
    <rPh sb="5" eb="6">
      <t>ケン</t>
    </rPh>
    <phoneticPr fontId="2"/>
  </si>
  <si>
    <t>事業実施数（件）</t>
    <rPh sb="0" eb="2">
      <t>ジギョウ</t>
    </rPh>
    <rPh sb="2" eb="4">
      <t>ジッシ</t>
    </rPh>
    <rPh sb="4" eb="5">
      <t>スウ</t>
    </rPh>
    <phoneticPr fontId="2"/>
  </si>
  <si>
    <t>検疫実施者数（人）</t>
    <rPh sb="0" eb="2">
      <t>ケンエキ</t>
    </rPh>
    <rPh sb="2" eb="4">
      <t>ジッシ</t>
    </rPh>
    <rPh sb="4" eb="5">
      <t>シャ</t>
    </rPh>
    <rPh sb="5" eb="6">
      <t>スウ</t>
    </rPh>
    <phoneticPr fontId="2"/>
  </si>
  <si>
    <t>資源評価対象魚種数（種）</t>
    <rPh sb="0" eb="2">
      <t>シゲン</t>
    </rPh>
    <rPh sb="2" eb="4">
      <t>ヒョウカ</t>
    </rPh>
    <rPh sb="4" eb="6">
      <t>タイショウ</t>
    </rPh>
    <rPh sb="6" eb="7">
      <t>サカナ</t>
    </rPh>
    <rPh sb="8" eb="9">
      <t>スウ</t>
    </rPh>
    <rPh sb="10" eb="11">
      <t>シュ</t>
    </rPh>
    <phoneticPr fontId="2"/>
  </si>
  <si>
    <t>燃料電池自動車の普及促進に向けた水素ステーション整備事業費補助事業</t>
    <phoneticPr fontId="2"/>
  </si>
  <si>
    <t>事業実施数（件）</t>
    <rPh sb="0" eb="2">
      <t>ジギョウ</t>
    </rPh>
    <rPh sb="2" eb="4">
      <t>ジッシ</t>
    </rPh>
    <rPh sb="4" eb="5">
      <t>スウ</t>
    </rPh>
    <rPh sb="6" eb="7">
      <t>ケン</t>
    </rPh>
    <phoneticPr fontId="2"/>
  </si>
  <si>
    <t>減価償却相当額（損益外減価償却相当額）</t>
    <rPh sb="0" eb="2">
      <t>ゲンカ</t>
    </rPh>
    <rPh sb="2" eb="4">
      <t>ショウキャク</t>
    </rPh>
    <rPh sb="4" eb="6">
      <t>ソウトウ</t>
    </rPh>
    <rPh sb="6" eb="7">
      <t>ガク</t>
    </rPh>
    <phoneticPr fontId="2"/>
  </si>
  <si>
    <t>補助件数（件）</t>
    <phoneticPr fontId="2"/>
  </si>
  <si>
    <t>資源配分額（現金等の給付額）</t>
    <rPh sb="0" eb="2">
      <t>シゲン</t>
    </rPh>
    <rPh sb="2" eb="4">
      <t>ハイブン</t>
    </rPh>
    <rPh sb="4" eb="5">
      <t>ガク</t>
    </rPh>
    <rPh sb="6" eb="8">
      <t>ゲンキン</t>
    </rPh>
    <rPh sb="8" eb="9">
      <t>トウ</t>
    </rPh>
    <rPh sb="10" eb="13">
      <t>キュウフガク</t>
    </rPh>
    <phoneticPr fontId="2"/>
  </si>
  <si>
    <t>資源配分額
（現金等の給付額）</t>
    <rPh sb="0" eb="2">
      <t>シゲン</t>
    </rPh>
    <rPh sb="2" eb="4">
      <t>ハイブン</t>
    </rPh>
    <rPh sb="4" eb="5">
      <t>ガク</t>
    </rPh>
    <rPh sb="7" eb="9">
      <t>ゲンキン</t>
    </rPh>
    <rPh sb="9" eb="10">
      <t>トウ</t>
    </rPh>
    <rPh sb="11" eb="13">
      <t>キュウフ</t>
    </rPh>
    <rPh sb="13" eb="14">
      <t>ガク</t>
    </rPh>
    <phoneticPr fontId="2"/>
  </si>
  <si>
    <t>資源配分額（単位：千円）</t>
    <rPh sb="0" eb="2">
      <t>シゲン</t>
    </rPh>
    <rPh sb="2" eb="4">
      <t>ハイブン</t>
    </rPh>
    <rPh sb="4" eb="5">
      <t>ガク</t>
    </rPh>
    <rPh sb="6" eb="8">
      <t>タンイ</t>
    </rPh>
    <rPh sb="9" eb="11">
      <t>センエン</t>
    </rPh>
    <phoneticPr fontId="2"/>
  </si>
  <si>
    <t>資源配分額（単位：千円）</t>
    <rPh sb="0" eb="5">
      <t>シゲンハイブンガク</t>
    </rPh>
    <rPh sb="6" eb="8">
      <t>タンイ</t>
    </rPh>
    <rPh sb="9" eb="11">
      <t>センエン</t>
    </rPh>
    <phoneticPr fontId="2"/>
  </si>
  <si>
    <t>（３）資源配分額（発生主義ベース、「資源配分事業」のみ）</t>
    <rPh sb="3" eb="5">
      <t>シゲン</t>
    </rPh>
    <rPh sb="5" eb="7">
      <t>ハイブン</t>
    </rPh>
    <rPh sb="7" eb="8">
      <t>ガク</t>
    </rPh>
    <phoneticPr fontId="2"/>
  </si>
  <si>
    <t>　国から交付された現金等の総額を示しています。</t>
    <rPh sb="11" eb="12">
      <t>トウ</t>
    </rPh>
    <phoneticPr fontId="2"/>
  </si>
  <si>
    <t>手当や補助金等の現金等の給付事務の「効率性」を表す指標</t>
    <rPh sb="0" eb="2">
      <t>テアテ</t>
    </rPh>
    <rPh sb="3" eb="6">
      <t>ホジョキン</t>
    </rPh>
    <rPh sb="6" eb="7">
      <t>トウ</t>
    </rPh>
    <rPh sb="8" eb="10">
      <t>ゲンキン</t>
    </rPh>
    <rPh sb="10" eb="11">
      <t>トウ</t>
    </rPh>
    <rPh sb="12" eb="14">
      <t>キュウフ</t>
    </rPh>
    <rPh sb="14" eb="16">
      <t>ジム</t>
    </rPh>
    <rPh sb="18" eb="21">
      <t>コウリツセイ</t>
    </rPh>
    <rPh sb="23" eb="24">
      <t>アラワ</t>
    </rPh>
    <rPh sb="25" eb="27">
      <t>シヒョウ</t>
    </rPh>
    <phoneticPr fontId="2"/>
  </si>
  <si>
    <t>同じ現金等を給付する事業でも、</t>
    <rPh sb="0" eb="1">
      <t>オナ</t>
    </rPh>
    <rPh sb="2" eb="4">
      <t>ゲンキン</t>
    </rPh>
    <rPh sb="4" eb="5">
      <t>トウ</t>
    </rPh>
    <rPh sb="6" eb="8">
      <t>キュウフ</t>
    </rPh>
    <rPh sb="10" eb="12">
      <t>ジギョウ</t>
    </rPh>
    <phoneticPr fontId="2"/>
  </si>
  <si>
    <t>在来線トンネル対策距離（km）</t>
    <phoneticPr fontId="2"/>
  </si>
  <si>
    <t>データベースにおける割合については、原則として小数点第3位を四捨五入して表示しています。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</si>
</sst>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0_ "/>
    <numFmt numFmtId="177" formatCode="0.0"/>
    <numFmt numFmtId="178" formatCode="0.00_);[Red]\(0.00\)"/>
    <numFmt numFmtId="179" formatCode="0.000"/>
    <numFmt numFmtId="180" formatCode="#,##0.0;&quot;▲ &quot;#,##0.0"/>
    <numFmt numFmtId="181" formatCode="#,##0;&quot;▲ &quot;#,##0"/>
    <numFmt numFmtId="182" formatCode="0.00;&quot;▲ &quot;0.00"/>
    <numFmt numFmtId="183" formatCode="0.0;&quot;▲ &quot;0.0"/>
    <numFmt numFmtId="184" formatCode="0.0_ "/>
    <numFmt numFmtId="185" formatCode="#,##0_ ;[Red]\-#,##0\ "/>
    <numFmt numFmtId="186" formatCode="0.0_ ;[Red]\-0.0\ "/>
    <numFmt numFmtId="187" formatCode="0.00_ ;[Red]\-0.00\ "/>
    <numFmt numFmtId="188" formatCode="#,##0.0;[Red]\-#,##0.0"/>
    <numFmt numFmtId="189" formatCode="#,##0.0_ ;[Red]\-#,##0.0\ "/>
    <numFmt numFmtId="190" formatCode="#,##0.00_ ;[Red]\-#,##0.00\ "/>
    <numFmt numFmtId="191" formatCode="#,##0.0000_ ;[Red]\-#,##0.0000\ "/>
    <numFmt numFmtId="192" formatCode="#,##0.000_ ;[Red]\-#,##0.000\ "/>
    <numFmt numFmtId="193" formatCode="#,##0.00;&quot;▲ &quot;#,##0.00"/>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1"/>
      <name val="ＭＳ Ｐゴシック"/>
      <family val="2"/>
      <charset val="128"/>
      <scheme val="minor"/>
    </font>
    <font>
      <sz val="9.5"/>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2"/>
      <name val="ＭＳ 明朝"/>
      <family val="1"/>
      <charset val="128"/>
    </font>
    <font>
      <sz val="10.5"/>
      <name val="Century"/>
      <family val="1"/>
    </font>
    <font>
      <sz val="10.5"/>
      <name val="ＭＳ 明朝"/>
      <family val="1"/>
      <charset val="128"/>
    </font>
    <font>
      <sz val="10.5"/>
      <name val="ＭＳ Ｐ明朝"/>
      <family val="1"/>
      <charset val="128"/>
    </font>
    <font>
      <sz val="10.5"/>
      <color theme="1"/>
      <name val="Century"/>
      <family val="1"/>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明朝"/>
      <family val="1"/>
      <charset val="128"/>
    </font>
    <font>
      <sz val="16"/>
      <color theme="1"/>
      <name val="ＭＳ Ｐゴシック"/>
      <family val="3"/>
      <charset val="128"/>
      <scheme val="minor"/>
    </font>
    <font>
      <sz val="12"/>
      <color rgb="FFFF0000"/>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12"/>
      <color indexed="81"/>
      <name val="ＭＳ Ｐゴシック"/>
      <family val="3"/>
      <charset val="128"/>
    </font>
    <font>
      <sz val="1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b/>
      <u/>
      <sz val="12"/>
      <color theme="1"/>
      <name val="ＭＳ 明朝"/>
      <family val="1"/>
      <charset val="128"/>
    </font>
    <font>
      <sz val="14"/>
      <color theme="1"/>
      <name val="ＭＳ Ｐゴシック"/>
      <family val="2"/>
      <charset val="128"/>
      <scheme val="minor"/>
    </font>
    <font>
      <sz val="8"/>
      <color theme="1"/>
      <name val="ＭＳ Ｐゴシック"/>
      <family val="3"/>
      <charset val="128"/>
      <scheme val="minor"/>
    </font>
    <font>
      <sz val="10.5"/>
      <color theme="1"/>
      <name val="ＭＳ Ｐ明朝"/>
      <family val="1"/>
      <charset val="128"/>
    </font>
    <font>
      <sz val="11"/>
      <color theme="1"/>
      <name val="Century"/>
      <family val="1"/>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CCCC"/>
        <bgColor indexed="64"/>
      </patternFill>
    </fill>
    <fill>
      <patternFill patternType="solid">
        <fgColor theme="9" tint="0.39994506668294322"/>
        <bgColor indexed="64"/>
      </patternFill>
    </fill>
  </fills>
  <borders count="123">
    <border>
      <left/>
      <right/>
      <top/>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right/>
      <top/>
      <bottom style="medium">
        <color auto="1"/>
      </bottom>
      <diagonal/>
    </border>
    <border>
      <left style="medium">
        <color indexed="64"/>
      </left>
      <right style="medium">
        <color indexed="64"/>
      </right>
      <top style="medium">
        <color indexed="64"/>
      </top>
      <bottom/>
      <diagonal/>
    </border>
    <border>
      <left/>
      <right style="medium">
        <color auto="1"/>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auto="1"/>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auto="1"/>
      </top>
      <bottom style="medium">
        <color indexed="64"/>
      </bottom>
      <diagonal style="thin">
        <color auto="1"/>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indexed="64"/>
      </left>
      <right style="thin">
        <color indexed="64"/>
      </right>
      <top style="hair">
        <color indexed="64"/>
      </top>
      <bottom/>
      <diagonal/>
    </border>
    <border>
      <left style="hair">
        <color indexed="64"/>
      </left>
      <right style="thin">
        <color indexed="64"/>
      </right>
      <top style="hair">
        <color auto="1"/>
      </top>
      <bottom style="hair">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auto="1"/>
      </right>
      <top style="hair">
        <color auto="1"/>
      </top>
      <bottom style="thin">
        <color indexed="64"/>
      </bottom>
      <diagonal/>
    </border>
    <border diagonalUp="1">
      <left style="thin">
        <color auto="1"/>
      </left>
      <right style="medium">
        <color indexed="64"/>
      </right>
      <top style="medium">
        <color indexed="64"/>
      </top>
      <bottom style="thin">
        <color auto="1"/>
      </bottom>
      <diagonal style="thin">
        <color auto="1"/>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medium">
        <color indexed="64"/>
      </bottom>
      <diagonal style="thin">
        <color auto="1"/>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diagonalUp="1">
      <left style="medium">
        <color indexed="64"/>
      </left>
      <right/>
      <top style="thin">
        <color auto="1"/>
      </top>
      <bottom style="medium">
        <color indexed="64"/>
      </bottom>
      <diagonal style="thin">
        <color auto="1"/>
      </diagonal>
    </border>
    <border>
      <left style="medium">
        <color indexed="64"/>
      </left>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diagonal/>
    </border>
    <border diagonalUp="1">
      <left style="thin">
        <color auto="1"/>
      </left>
      <right style="medium">
        <color indexed="64"/>
      </right>
      <top style="thin">
        <color auto="1"/>
      </top>
      <bottom/>
      <diagonal style="thin">
        <color auto="1"/>
      </diagonal>
    </border>
    <border>
      <left style="thin">
        <color auto="1"/>
      </left>
      <right style="medium">
        <color indexed="64"/>
      </right>
      <top style="double">
        <color auto="1"/>
      </top>
      <bottom style="medium">
        <color indexed="64"/>
      </bottom>
      <diagonal/>
    </border>
    <border>
      <left style="medium">
        <color indexed="64"/>
      </left>
      <right/>
      <top style="double">
        <color auto="1"/>
      </top>
      <bottom style="medium">
        <color indexed="64"/>
      </bottom>
      <diagonal/>
    </border>
    <border diagonalUp="1">
      <left style="thin">
        <color auto="1"/>
      </left>
      <right style="medium">
        <color indexed="64"/>
      </right>
      <top style="double">
        <color auto="1"/>
      </top>
      <bottom style="medium">
        <color indexed="64"/>
      </bottom>
      <diagonal style="thin">
        <color auto="1"/>
      </diagonal>
    </border>
    <border>
      <left style="medium">
        <color indexed="64"/>
      </left>
      <right style="thin">
        <color auto="1"/>
      </right>
      <top style="thin">
        <color indexed="64"/>
      </top>
      <bottom style="double">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indexed="64"/>
      </left>
      <right/>
      <top style="hair">
        <color indexed="64"/>
      </top>
      <bottom/>
      <diagonal/>
    </border>
    <border>
      <left style="thin">
        <color auto="1"/>
      </left>
      <right/>
      <top style="hair">
        <color auto="1"/>
      </top>
      <bottom style="hair">
        <color auto="1"/>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auto="1"/>
      </top>
      <bottom style="hair">
        <color auto="1"/>
      </bottom>
      <diagonal/>
    </border>
    <border>
      <left style="thin">
        <color indexed="64"/>
      </left>
      <right style="thin">
        <color auto="1"/>
      </right>
      <top style="medium">
        <color indexed="64"/>
      </top>
      <bottom/>
      <diagonal/>
    </border>
    <border>
      <left style="thin">
        <color auto="1"/>
      </left>
      <right/>
      <top style="medium">
        <color indexed="64"/>
      </top>
      <bottom/>
      <diagonal/>
    </border>
    <border>
      <left style="hair">
        <color indexed="64"/>
      </left>
      <right style="thin">
        <color indexed="64"/>
      </right>
      <top/>
      <bottom style="medium">
        <color indexed="64"/>
      </bottom>
      <diagonal/>
    </border>
    <border>
      <left style="thin">
        <color auto="1"/>
      </left>
      <right/>
      <top/>
      <bottom style="medium">
        <color indexed="64"/>
      </bottom>
      <diagonal/>
    </border>
    <border>
      <left/>
      <right style="thin">
        <color auto="1"/>
      </right>
      <top style="medium">
        <color indexed="64"/>
      </top>
      <bottom/>
      <diagonal/>
    </border>
    <border>
      <left style="medium">
        <color indexed="64"/>
      </left>
      <right/>
      <top style="thin">
        <color auto="1"/>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thin">
        <color auto="1"/>
      </bottom>
      <diagonal/>
    </border>
    <border>
      <left/>
      <right/>
      <top style="thin">
        <color auto="1"/>
      </top>
      <bottom style="double">
        <color indexed="64"/>
      </bottom>
      <diagonal/>
    </border>
    <border>
      <left/>
      <right/>
      <top style="medium">
        <color indexed="64"/>
      </top>
      <bottom/>
      <diagonal/>
    </border>
    <border>
      <left/>
      <right/>
      <top style="thin">
        <color auto="1"/>
      </top>
      <bottom style="medium">
        <color indexed="64"/>
      </bottom>
      <diagonal/>
    </border>
    <border>
      <left/>
      <right style="thin">
        <color auto="1"/>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auto="1"/>
      </top>
      <bottom style="hair">
        <color auto="1"/>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medium">
        <color indexed="64"/>
      </top>
      <bottom style="thin">
        <color auto="1"/>
      </bottom>
      <diagonal/>
    </border>
    <border diagonalUp="1">
      <left style="medium">
        <color indexed="64"/>
      </left>
      <right style="medium">
        <color indexed="64"/>
      </right>
      <top style="medium">
        <color indexed="64"/>
      </top>
      <bottom style="thin">
        <color auto="1"/>
      </bottom>
      <diagonal style="thin">
        <color indexed="64"/>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double">
        <color auto="1"/>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right style="thin">
        <color auto="1"/>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auto="1"/>
      </bottom>
      <diagonal/>
    </border>
    <border>
      <left style="double">
        <color indexed="64"/>
      </left>
      <right style="double">
        <color indexed="64"/>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medium">
        <color indexed="64"/>
      </right>
      <top/>
      <bottom style="thin">
        <color auto="1"/>
      </bottom>
      <diagonal/>
    </border>
    <border>
      <left style="thin">
        <color auto="1"/>
      </left>
      <right style="thin">
        <color auto="1"/>
      </right>
      <top/>
      <bottom style="hair">
        <color auto="1"/>
      </bottom>
      <diagonal/>
    </border>
    <border>
      <left style="medium">
        <color indexed="64"/>
      </left>
      <right style="thin">
        <color auto="1"/>
      </right>
      <top style="hair">
        <color auto="1"/>
      </top>
      <bottom style="hair">
        <color indexed="64"/>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indexed="64"/>
      </left>
      <right/>
      <top style="thin">
        <color auto="1"/>
      </top>
      <bottom style="double">
        <color indexed="64"/>
      </bottom>
      <diagonal/>
    </border>
    <border>
      <left style="thin">
        <color auto="1"/>
      </left>
      <right/>
      <top style="thin">
        <color auto="1"/>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73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38" fontId="0" fillId="0" borderId="3" xfId="1" applyFont="1" applyFill="1" applyBorder="1">
      <alignment vertical="center"/>
    </xf>
    <xf numFmtId="0" fontId="0" fillId="0" borderId="3" xfId="0" applyFill="1" applyBorder="1">
      <alignment vertical="center"/>
    </xf>
    <xf numFmtId="0" fontId="0" fillId="0" borderId="0" xfId="0" applyFill="1">
      <alignment vertical="center"/>
    </xf>
    <xf numFmtId="0" fontId="0" fillId="0" borderId="0" xfId="0" applyBorder="1">
      <alignment vertical="center"/>
    </xf>
    <xf numFmtId="0" fontId="10" fillId="0" borderId="0" xfId="2">
      <alignment vertical="center"/>
    </xf>
    <xf numFmtId="0" fontId="10" fillId="0" borderId="0" xfId="2" applyAlignment="1">
      <alignment horizontal="right"/>
    </xf>
    <xf numFmtId="0" fontId="13" fillId="0" borderId="10" xfId="2" applyFont="1" applyBorder="1" applyAlignment="1">
      <alignment horizontal="center" vertical="center" wrapText="1"/>
    </xf>
    <xf numFmtId="0" fontId="15" fillId="0" borderId="28" xfId="2" applyFont="1" applyBorder="1" applyAlignment="1">
      <alignment horizontal="justify" vertical="center" wrapText="1"/>
    </xf>
    <xf numFmtId="0" fontId="14" fillId="0" borderId="29" xfId="2" applyFont="1" applyBorder="1" applyAlignment="1">
      <alignment horizontal="center" vertical="center" wrapText="1"/>
    </xf>
    <xf numFmtId="0" fontId="14" fillId="0" borderId="28" xfId="2" applyFont="1" applyBorder="1" applyAlignment="1">
      <alignment horizontal="center" vertical="center" wrapText="1"/>
    </xf>
    <xf numFmtId="38" fontId="14" fillId="3" borderId="28" xfId="3" applyFont="1" applyFill="1" applyBorder="1" applyAlignment="1">
      <alignment horizontal="center" vertical="center" wrapText="1"/>
    </xf>
    <xf numFmtId="0" fontId="15" fillId="0" borderId="31" xfId="2" applyFont="1" applyBorder="1" applyAlignment="1">
      <alignment horizontal="justify" vertical="center" wrapText="1"/>
    </xf>
    <xf numFmtId="38" fontId="14" fillId="3" borderId="32" xfId="3" applyNumberFormat="1" applyFont="1" applyFill="1" applyBorder="1" applyAlignment="1">
      <alignment horizontal="center" vertical="center" wrapText="1"/>
    </xf>
    <xf numFmtId="38" fontId="14" fillId="3" borderId="33" xfId="3" applyNumberFormat="1" applyFont="1" applyFill="1" applyBorder="1" applyAlignment="1">
      <alignment horizontal="center" vertical="center" wrapText="1"/>
    </xf>
    <xf numFmtId="3" fontId="14" fillId="3" borderId="35" xfId="2" applyNumberFormat="1" applyFont="1" applyFill="1" applyBorder="1" applyAlignment="1">
      <alignment horizontal="center" vertical="center" wrapText="1"/>
    </xf>
    <xf numFmtId="0" fontId="15" fillId="2" borderId="36" xfId="2" applyFont="1" applyFill="1" applyBorder="1" applyAlignment="1">
      <alignment horizontal="center" vertical="center" wrapText="1"/>
    </xf>
    <xf numFmtId="0" fontId="14" fillId="2" borderId="28" xfId="2" applyFont="1" applyFill="1" applyBorder="1" applyAlignment="1">
      <alignment horizontal="justify" vertical="center" wrapText="1"/>
    </xf>
    <xf numFmtId="4" fontId="14" fillId="2" borderId="24" xfId="2" applyNumberFormat="1" applyFont="1" applyFill="1" applyBorder="1" applyAlignment="1">
      <alignment horizontal="center" vertical="center" wrapText="1"/>
    </xf>
    <xf numFmtId="4" fontId="16" fillId="0" borderId="28" xfId="2"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38" fontId="17" fillId="2" borderId="35" xfId="3" applyFont="1" applyFill="1" applyBorder="1" applyAlignment="1">
      <alignment horizontal="center" vertical="center" wrapText="1"/>
    </xf>
    <xf numFmtId="38" fontId="14" fillId="2" borderId="35" xfId="3" applyNumberFormat="1" applyFont="1" applyFill="1" applyBorder="1" applyAlignment="1">
      <alignment horizontal="center" vertical="center" wrapText="1"/>
    </xf>
    <xf numFmtId="38" fontId="14" fillId="2" borderId="35" xfId="3" applyFont="1" applyFill="1" applyBorder="1" applyAlignment="1">
      <alignment horizontal="center" vertical="center" wrapText="1"/>
    </xf>
    <xf numFmtId="0" fontId="0" fillId="0" borderId="0" xfId="0" applyBorder="1" applyAlignment="1">
      <alignment vertical="center"/>
    </xf>
    <xf numFmtId="0" fontId="18" fillId="0" borderId="0" xfId="0" applyFont="1">
      <alignment vertical="center"/>
    </xf>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6" fillId="0" borderId="0" xfId="0" applyFont="1" applyAlignment="1">
      <alignment horizontal="right"/>
    </xf>
    <xf numFmtId="0" fontId="19" fillId="0" borderId="0" xfId="0" applyFont="1" applyBorder="1">
      <alignment vertical="center"/>
    </xf>
    <xf numFmtId="0" fontId="19" fillId="0" borderId="14" xfId="0" applyFont="1" applyBorder="1">
      <alignment vertical="center"/>
    </xf>
    <xf numFmtId="0" fontId="19"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18" fillId="0" borderId="0" xfId="0" applyFont="1" applyBorder="1" applyAlignment="1">
      <alignment horizontal="center" vertical="center"/>
    </xf>
    <xf numFmtId="0" fontId="20" fillId="0" borderId="9" xfId="0" applyFont="1" applyBorder="1" applyAlignment="1">
      <alignment horizontal="center" vertical="center" wrapText="1"/>
    </xf>
    <xf numFmtId="0" fontId="19" fillId="0" borderId="0" xfId="0" applyFont="1" applyFill="1" applyBorder="1">
      <alignment vertical="center"/>
    </xf>
    <xf numFmtId="0" fontId="0" fillId="0" borderId="40" xfId="0" applyBorder="1" applyAlignment="1">
      <alignment horizontal="center" vertical="center" wrapText="1"/>
    </xf>
    <xf numFmtId="0" fontId="18" fillId="0" borderId="0" xfId="0" applyFont="1" applyBorder="1" applyAlignment="1">
      <alignment vertical="center"/>
    </xf>
    <xf numFmtId="0" fontId="19" fillId="0" borderId="60" xfId="0" applyFont="1" applyFill="1" applyBorder="1">
      <alignment vertical="center"/>
    </xf>
    <xf numFmtId="0" fontId="19" fillId="0" borderId="12" xfId="0" applyFont="1" applyFill="1" applyBorder="1">
      <alignment vertical="center"/>
    </xf>
    <xf numFmtId="0" fontId="6" fillId="0" borderId="0" xfId="0" applyFont="1" applyFill="1" applyAlignment="1">
      <alignment horizontal="right"/>
    </xf>
    <xf numFmtId="0" fontId="19" fillId="0" borderId="61" xfId="0" applyFont="1" applyFill="1" applyBorder="1">
      <alignment vertical="center"/>
    </xf>
    <xf numFmtId="0" fontId="19" fillId="0" borderId="58" xfId="0" applyFont="1" applyFill="1" applyBorder="1">
      <alignment vertical="center"/>
    </xf>
    <xf numFmtId="0" fontId="21" fillId="0" borderId="0" xfId="0" applyFont="1">
      <alignment vertical="center"/>
    </xf>
    <xf numFmtId="0" fontId="19" fillId="0" borderId="9" xfId="0" applyFont="1" applyBorder="1" applyAlignment="1">
      <alignment horizontal="center" vertical="center"/>
    </xf>
    <xf numFmtId="0" fontId="19" fillId="5" borderId="14" xfId="0" applyFont="1" applyFill="1" applyBorder="1">
      <alignment vertical="center"/>
    </xf>
    <xf numFmtId="0" fontId="19" fillId="5" borderId="60" xfId="0" applyFont="1" applyFill="1" applyBorder="1">
      <alignment vertical="center"/>
    </xf>
    <xf numFmtId="0" fontId="19" fillId="5" borderId="56" xfId="0" applyFont="1" applyFill="1" applyBorder="1">
      <alignment vertical="center"/>
    </xf>
    <xf numFmtId="0" fontId="19" fillId="5" borderId="59" xfId="0" applyFont="1" applyFill="1" applyBorder="1">
      <alignment vertical="center"/>
    </xf>
    <xf numFmtId="0" fontId="19" fillId="5" borderId="63" xfId="0" applyFont="1" applyFill="1" applyBorder="1">
      <alignment vertical="center"/>
    </xf>
    <xf numFmtId="0" fontId="19" fillId="5" borderId="12" xfId="0" applyFont="1" applyFill="1" applyBorder="1">
      <alignment vertical="center"/>
    </xf>
    <xf numFmtId="0" fontId="19" fillId="5" borderId="66" xfId="0" applyFont="1" applyFill="1" applyBorder="1" applyAlignment="1">
      <alignment vertical="center" shrinkToFit="1"/>
    </xf>
    <xf numFmtId="0" fontId="19" fillId="5" borderId="66" xfId="0" applyFont="1" applyFill="1" applyBorder="1">
      <alignment vertical="center"/>
    </xf>
    <xf numFmtId="0" fontId="19" fillId="5" borderId="68" xfId="0" applyFont="1" applyFill="1" applyBorder="1">
      <alignment vertical="center"/>
    </xf>
    <xf numFmtId="0" fontId="19" fillId="5" borderId="67" xfId="0" applyFont="1" applyFill="1" applyBorder="1">
      <alignment vertical="center"/>
    </xf>
    <xf numFmtId="38" fontId="14" fillId="3" borderId="29" xfId="3" applyFont="1" applyFill="1" applyBorder="1" applyAlignment="1">
      <alignment horizontal="center" vertical="center" wrapText="1"/>
    </xf>
    <xf numFmtId="0" fontId="0" fillId="0" borderId="3" xfId="0" applyBorder="1" applyAlignment="1">
      <alignment horizontal="center" vertical="center"/>
    </xf>
    <xf numFmtId="2" fontId="19" fillId="5" borderId="59" xfId="0" applyNumberFormat="1" applyFont="1" applyFill="1" applyBorder="1">
      <alignment vertical="center"/>
    </xf>
    <xf numFmtId="38" fontId="19" fillId="0" borderId="0" xfId="1" applyFont="1" applyBorder="1">
      <alignment vertical="center"/>
    </xf>
    <xf numFmtId="2" fontId="19" fillId="5" borderId="41" xfId="0" applyNumberFormat="1" applyFont="1" applyFill="1" applyBorder="1">
      <alignment vertical="center"/>
    </xf>
    <xf numFmtId="2" fontId="19" fillId="5" borderId="3" xfId="0" applyNumberFormat="1" applyFont="1" applyFill="1" applyBorder="1">
      <alignment vertical="center"/>
    </xf>
    <xf numFmtId="0" fontId="19" fillId="0" borderId="14" xfId="0" applyFont="1" applyFill="1" applyBorder="1">
      <alignment vertical="center"/>
    </xf>
    <xf numFmtId="0" fontId="19" fillId="0" borderId="63" xfId="0" applyFont="1" applyFill="1" applyBorder="1">
      <alignment vertical="center"/>
    </xf>
    <xf numFmtId="0" fontId="10" fillId="0" borderId="3" xfId="2" applyBorder="1" applyAlignment="1">
      <alignment horizontal="center" vertical="center"/>
    </xf>
    <xf numFmtId="0" fontId="10" fillId="0" borderId="3" xfId="2" applyBorder="1">
      <alignment vertical="center"/>
    </xf>
    <xf numFmtId="38" fontId="19" fillId="0" borderId="59" xfId="1" applyFont="1" applyBorder="1">
      <alignment vertical="center"/>
    </xf>
    <xf numFmtId="38" fontId="19" fillId="0" borderId="14" xfId="1" applyFont="1" applyBorder="1">
      <alignment vertical="center"/>
    </xf>
    <xf numFmtId="38" fontId="19" fillId="5" borderId="64" xfId="1" applyFont="1" applyFill="1" applyBorder="1">
      <alignment vertical="center"/>
    </xf>
    <xf numFmtId="0" fontId="19" fillId="5" borderId="62" xfId="0" applyFont="1" applyFill="1" applyBorder="1" applyAlignment="1">
      <alignment horizontal="right" vertical="center"/>
    </xf>
    <xf numFmtId="0" fontId="19" fillId="5" borderId="44" xfId="0" applyFont="1" applyFill="1" applyBorder="1" applyAlignment="1">
      <alignment horizontal="right" vertical="center"/>
    </xf>
    <xf numFmtId="38" fontId="0" fillId="0" borderId="0" xfId="1" applyFont="1">
      <alignment vertical="center"/>
    </xf>
    <xf numFmtId="0" fontId="22" fillId="0" borderId="0" xfId="5" applyFont="1" applyFill="1" applyBorder="1" applyAlignment="1">
      <alignment horizontal="left" vertical="center"/>
    </xf>
    <xf numFmtId="38" fontId="19" fillId="5" borderId="59" xfId="1" applyFont="1" applyFill="1" applyBorder="1" applyAlignment="1">
      <alignment horizontal="right" vertical="center"/>
    </xf>
    <xf numFmtId="38" fontId="19" fillId="5" borderId="14" xfId="1" applyFont="1" applyFill="1" applyBorder="1" applyAlignment="1">
      <alignment horizontal="right" vertical="center"/>
    </xf>
    <xf numFmtId="38" fontId="19" fillId="0" borderId="59" xfId="1" applyFont="1" applyBorder="1" applyAlignment="1">
      <alignment horizontal="right" vertical="center"/>
    </xf>
    <xf numFmtId="38" fontId="19" fillId="0" borderId="14" xfId="1" applyFont="1" applyBorder="1" applyAlignment="1">
      <alignment horizontal="right" vertical="center"/>
    </xf>
    <xf numFmtId="0" fontId="19" fillId="5" borderId="59" xfId="0" applyFont="1" applyFill="1" applyBorder="1" applyAlignment="1">
      <alignment horizontal="right" vertical="center"/>
    </xf>
    <xf numFmtId="0" fontId="19" fillId="5" borderId="14" xfId="0" applyFont="1" applyFill="1" applyBorder="1" applyAlignment="1">
      <alignment horizontal="right" vertical="center"/>
    </xf>
    <xf numFmtId="0" fontId="19" fillId="0" borderId="41" xfId="0" applyFont="1" applyFill="1" applyBorder="1">
      <alignment vertical="center"/>
    </xf>
    <xf numFmtId="0" fontId="19" fillId="5" borderId="41" xfId="0" applyFont="1" applyFill="1" applyBorder="1">
      <alignment vertical="center"/>
    </xf>
    <xf numFmtId="0" fontId="19" fillId="0" borderId="85" xfId="0" applyFont="1" applyFill="1" applyBorder="1">
      <alignment vertical="center"/>
    </xf>
    <xf numFmtId="0" fontId="19" fillId="5" borderId="34" xfId="0" applyFont="1" applyFill="1" applyBorder="1">
      <alignment vertical="center"/>
    </xf>
    <xf numFmtId="2" fontId="19" fillId="5" borderId="60" xfId="0" applyNumberFormat="1" applyFont="1" applyFill="1" applyBorder="1" applyAlignment="1">
      <alignment horizontal="right" vertical="center"/>
    </xf>
    <xf numFmtId="38" fontId="19" fillId="5" borderId="37" xfId="1" applyFont="1" applyFill="1" applyBorder="1">
      <alignment vertical="center"/>
    </xf>
    <xf numFmtId="38" fontId="19" fillId="5" borderId="78" xfId="1" applyFont="1" applyFill="1" applyBorder="1">
      <alignment vertical="center"/>
    </xf>
    <xf numFmtId="38" fontId="19" fillId="5" borderId="27" xfId="1" applyFont="1" applyFill="1" applyBorder="1" applyAlignment="1">
      <alignment horizontal="right" vertical="center"/>
    </xf>
    <xf numFmtId="38" fontId="19" fillId="5" borderId="27" xfId="1" applyFont="1" applyFill="1" applyBorder="1">
      <alignment vertical="center"/>
    </xf>
    <xf numFmtId="2" fontId="19" fillId="0" borderId="0" xfId="0" applyNumberFormat="1" applyFont="1" applyFill="1" applyBorder="1">
      <alignment vertical="center"/>
    </xf>
    <xf numFmtId="0" fontId="19" fillId="0" borderId="62" xfId="0" applyFont="1" applyFill="1" applyBorder="1" applyAlignment="1">
      <alignment horizontal="right" vertical="center"/>
    </xf>
    <xf numFmtId="0" fontId="19" fillId="0" borderId="44" xfId="0" applyFont="1" applyFill="1" applyBorder="1" applyAlignment="1">
      <alignment horizontal="right" vertical="center"/>
    </xf>
    <xf numFmtId="2" fontId="19" fillId="0" borderId="41" xfId="0" applyNumberFormat="1" applyFont="1" applyFill="1" applyBorder="1">
      <alignment vertical="center"/>
    </xf>
    <xf numFmtId="0" fontId="19" fillId="5" borderId="61" xfId="0" applyFont="1" applyFill="1" applyBorder="1">
      <alignment vertical="center"/>
    </xf>
    <xf numFmtId="0" fontId="19" fillId="5" borderId="58" xfId="0" applyFont="1" applyFill="1" applyBorder="1">
      <alignment vertical="center"/>
    </xf>
    <xf numFmtId="0" fontId="0" fillId="5" borderId="43" xfId="0" applyFill="1" applyBorder="1">
      <alignment vertical="center"/>
    </xf>
    <xf numFmtId="0" fontId="19" fillId="0" borderId="40" xfId="0" applyFont="1" applyFill="1" applyBorder="1">
      <alignment vertical="center"/>
    </xf>
    <xf numFmtId="0" fontId="0" fillId="0" borderId="0" xfId="0" applyFill="1" applyBorder="1">
      <alignment vertical="center"/>
    </xf>
    <xf numFmtId="38" fontId="19" fillId="0" borderId="60" xfId="1" applyFont="1" applyFill="1" applyBorder="1">
      <alignment vertical="center"/>
    </xf>
    <xf numFmtId="38" fontId="19" fillId="0" borderId="19" xfId="1" applyFont="1" applyFill="1" applyBorder="1">
      <alignment vertical="center"/>
    </xf>
    <xf numFmtId="38" fontId="19" fillId="0" borderId="0" xfId="1" applyFont="1" applyFill="1" applyBorder="1">
      <alignment vertical="center"/>
    </xf>
    <xf numFmtId="38" fontId="19" fillId="0" borderId="40" xfId="1" applyFont="1" applyFill="1" applyBorder="1" applyAlignment="1">
      <alignment horizontal="right" vertical="center"/>
    </xf>
    <xf numFmtId="0" fontId="0" fillId="0" borderId="0" xfId="0" applyFill="1" applyBorder="1" applyAlignment="1">
      <alignment horizontal="center" vertical="center" shrinkToFit="1"/>
    </xf>
    <xf numFmtId="181" fontId="0" fillId="0" borderId="0" xfId="0" applyNumberFormat="1">
      <alignment vertical="center"/>
    </xf>
    <xf numFmtId="182" fontId="0" fillId="0" borderId="0" xfId="0" applyNumberFormat="1">
      <alignment vertical="center"/>
    </xf>
    <xf numFmtId="2" fontId="0" fillId="0" borderId="0" xfId="0" applyNumberFormat="1">
      <alignment vertical="center"/>
    </xf>
    <xf numFmtId="0" fontId="6" fillId="0" borderId="1" xfId="0" applyFont="1" applyBorder="1" applyAlignment="1">
      <alignment horizontal="center" vertical="center"/>
    </xf>
    <xf numFmtId="0" fontId="21" fillId="0" borderId="1" xfId="0" applyFont="1" applyBorder="1">
      <alignment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8" fillId="0" borderId="2" xfId="0" applyFont="1" applyBorder="1">
      <alignment vertical="center"/>
    </xf>
    <xf numFmtId="0" fontId="19" fillId="0" borderId="3" xfId="0" applyFont="1" applyBorder="1">
      <alignment vertical="center"/>
    </xf>
    <xf numFmtId="0" fontId="19" fillId="0" borderId="3" xfId="0" applyFont="1" applyBorder="1" applyAlignment="1">
      <alignment horizontal="left" vertical="center"/>
    </xf>
    <xf numFmtId="0" fontId="19" fillId="0" borderId="3" xfId="0" applyFont="1" applyBorder="1" applyAlignment="1">
      <alignment horizontal="center" vertical="center"/>
    </xf>
    <xf numFmtId="0" fontId="19" fillId="0" borderId="46" xfId="0" applyFont="1" applyBorder="1" applyAlignment="1">
      <alignment horizontal="center" vertical="center"/>
    </xf>
    <xf numFmtId="0" fontId="19" fillId="4" borderId="50" xfId="0" applyFont="1" applyFill="1" applyBorder="1">
      <alignment vertical="center"/>
    </xf>
    <xf numFmtId="0" fontId="19" fillId="0" borderId="1" xfId="0" applyFont="1" applyBorder="1">
      <alignment vertical="center"/>
    </xf>
    <xf numFmtId="0" fontId="19" fillId="0" borderId="1" xfId="0" applyFont="1" applyBorder="1" applyAlignment="1">
      <alignment horizontal="center" vertical="center"/>
    </xf>
    <xf numFmtId="0" fontId="19" fillId="0" borderId="0" xfId="0" applyFont="1">
      <alignment vertical="center"/>
    </xf>
    <xf numFmtId="0" fontId="19" fillId="0" borderId="47" xfId="0" applyFont="1" applyBorder="1">
      <alignment vertical="center"/>
    </xf>
    <xf numFmtId="0" fontId="19" fillId="0" borderId="4" xfId="0" applyFont="1" applyBorder="1">
      <alignment vertical="center"/>
    </xf>
    <xf numFmtId="0" fontId="19" fillId="0" borderId="46" xfId="0" applyFont="1" applyBorder="1">
      <alignment vertical="center"/>
    </xf>
    <xf numFmtId="0" fontId="18" fillId="0" borderId="2" xfId="0" applyFont="1" applyBorder="1" applyAlignment="1">
      <alignment horizontal="center" vertical="center" wrapText="1"/>
    </xf>
    <xf numFmtId="180" fontId="18" fillId="0" borderId="2" xfId="0" applyNumberFormat="1" applyFont="1" applyBorder="1">
      <alignment vertical="center"/>
    </xf>
    <xf numFmtId="181" fontId="18" fillId="0" borderId="3" xfId="1" applyNumberFormat="1" applyFont="1" applyBorder="1" applyAlignment="1">
      <alignment horizontal="right" vertical="center"/>
    </xf>
    <xf numFmtId="181" fontId="18" fillId="0" borderId="2" xfId="1" applyNumberFormat="1" applyFont="1" applyBorder="1" applyAlignment="1">
      <alignment horizontal="right" vertical="center"/>
    </xf>
    <xf numFmtId="182" fontId="18" fillId="0" borderId="3" xfId="0" applyNumberFormat="1" applyFont="1" applyBorder="1" applyAlignment="1">
      <alignment horizontal="right" vertical="center"/>
    </xf>
    <xf numFmtId="176" fontId="18" fillId="0" borderId="3" xfId="0" applyNumberFormat="1" applyFont="1" applyBorder="1" applyAlignment="1">
      <alignment horizontal="right" vertical="center"/>
    </xf>
    <xf numFmtId="0" fontId="19" fillId="0" borderId="87" xfId="0" applyFont="1" applyBorder="1" applyAlignment="1">
      <alignment horizontal="center" vertical="center" textRotation="255"/>
    </xf>
    <xf numFmtId="0" fontId="19" fillId="0" borderId="87" xfId="0" applyFont="1" applyBorder="1">
      <alignment vertical="center"/>
    </xf>
    <xf numFmtId="0" fontId="21" fillId="0" borderId="87" xfId="0" applyFont="1" applyBorder="1">
      <alignment vertical="center"/>
    </xf>
    <xf numFmtId="0" fontId="6" fillId="0" borderId="87" xfId="0" applyFont="1" applyBorder="1" applyAlignment="1">
      <alignment horizontal="right"/>
    </xf>
    <xf numFmtId="184" fontId="18" fillId="0" borderId="3" xfId="0" applyNumberFormat="1" applyFont="1" applyBorder="1" applyAlignment="1">
      <alignment horizontal="right" vertical="center"/>
    </xf>
    <xf numFmtId="0" fontId="23" fillId="0" borderId="0" xfId="0" applyFont="1">
      <alignment vertical="center"/>
    </xf>
    <xf numFmtId="0" fontId="18" fillId="0" borderId="0" xfId="0" applyFont="1" applyAlignment="1">
      <alignment horizontal="distributed"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38" fontId="19" fillId="0" borderId="59" xfId="1" applyFont="1" applyFill="1" applyBorder="1">
      <alignment vertical="center"/>
    </xf>
    <xf numFmtId="38" fontId="19" fillId="0" borderId="3" xfId="1" applyFont="1" applyFill="1" applyBorder="1">
      <alignment vertical="center"/>
    </xf>
    <xf numFmtId="38" fontId="19" fillId="5" borderId="59" xfId="1" applyFont="1" applyFill="1" applyBorder="1">
      <alignment vertical="center"/>
    </xf>
    <xf numFmtId="38" fontId="19" fillId="5" borderId="3" xfId="1" applyFont="1" applyFill="1" applyBorder="1">
      <alignment vertical="center"/>
    </xf>
    <xf numFmtId="38" fontId="19" fillId="0" borderId="57" xfId="1" applyFont="1" applyBorder="1">
      <alignment vertical="center"/>
    </xf>
    <xf numFmtId="38" fontId="19" fillId="5" borderId="14" xfId="1" applyFont="1" applyFill="1" applyBorder="1">
      <alignment vertical="center"/>
    </xf>
    <xf numFmtId="38" fontId="19" fillId="0" borderId="14" xfId="1" applyFont="1" applyFill="1" applyBorder="1">
      <alignment vertical="center"/>
    </xf>
    <xf numFmtId="38" fontId="19" fillId="0" borderId="83" xfId="1" applyFont="1" applyFill="1" applyBorder="1">
      <alignment vertical="center"/>
    </xf>
    <xf numFmtId="38" fontId="19" fillId="0" borderId="84" xfId="1" applyFont="1" applyFill="1" applyBorder="1">
      <alignment vertical="center"/>
    </xf>
    <xf numFmtId="38" fontId="19" fillId="5" borderId="13" xfId="1" applyFont="1" applyFill="1" applyBorder="1" applyAlignment="1">
      <alignment horizontal="right" vertical="center"/>
    </xf>
    <xf numFmtId="38" fontId="19" fillId="5" borderId="39" xfId="1" applyFont="1" applyFill="1" applyBorder="1">
      <alignment vertical="center"/>
    </xf>
    <xf numFmtId="38" fontId="19" fillId="5" borderId="72" xfId="1" applyFont="1" applyFill="1" applyBorder="1">
      <alignment vertical="center"/>
    </xf>
    <xf numFmtId="38" fontId="19" fillId="5" borderId="39" xfId="1" applyFont="1" applyFill="1" applyBorder="1" applyAlignment="1">
      <alignment horizontal="right" vertical="center"/>
    </xf>
    <xf numFmtId="181" fontId="18" fillId="0" borderId="3" xfId="0" applyNumberFormat="1" applyFont="1" applyBorder="1" applyAlignment="1">
      <alignment horizontal="right" vertical="center" shrinkToFit="1"/>
    </xf>
    <xf numFmtId="181" fontId="18" fillId="0" borderId="3" xfId="0" applyNumberFormat="1" applyFont="1" applyBorder="1" applyAlignment="1">
      <alignment vertical="center" shrinkToFit="1"/>
    </xf>
    <xf numFmtId="181" fontId="0" fillId="0" borderId="0" xfId="0" applyNumberFormat="1" applyAlignment="1">
      <alignment vertical="center" shrinkToFit="1"/>
    </xf>
    <xf numFmtId="38" fontId="18" fillId="0" borderId="3" xfId="1" applyFont="1" applyBorder="1" applyAlignment="1">
      <alignment vertical="center" shrinkToFit="1"/>
    </xf>
    <xf numFmtId="181" fontId="18" fillId="0" borderId="2" xfId="1" applyNumberFormat="1" applyFont="1" applyBorder="1" applyAlignment="1">
      <alignment horizontal="right" vertical="center" shrinkToFit="1"/>
    </xf>
    <xf numFmtId="181" fontId="18" fillId="0" borderId="3" xfId="1" applyNumberFormat="1" applyFont="1" applyBorder="1" applyAlignment="1">
      <alignment horizontal="right" vertical="center" shrinkToFit="1"/>
    </xf>
    <xf numFmtId="0" fontId="0" fillId="0" borderId="0" xfId="0" applyBorder="1" applyAlignment="1">
      <alignment vertical="center" shrinkToFit="1"/>
    </xf>
    <xf numFmtId="0" fontId="14" fillId="0" borderId="28" xfId="0" applyFont="1" applyFill="1" applyBorder="1" applyAlignment="1">
      <alignment horizontal="center" vertical="center" shrinkToFit="1"/>
    </xf>
    <xf numFmtId="0" fontId="19" fillId="0" borderId="23" xfId="0" applyFont="1" applyBorder="1" applyAlignment="1">
      <alignment horizontal="center" vertical="center"/>
    </xf>
    <xf numFmtId="2" fontId="19" fillId="5" borderId="46" xfId="0" applyNumberFormat="1" applyFont="1" applyFill="1" applyBorder="1">
      <alignment vertical="center"/>
    </xf>
    <xf numFmtId="38" fontId="19" fillId="0" borderId="46" xfId="1" applyFont="1" applyFill="1" applyBorder="1">
      <alignment vertical="center"/>
    </xf>
    <xf numFmtId="38" fontId="19" fillId="5" borderId="46" xfId="1" applyFont="1" applyFill="1" applyBorder="1">
      <alignment vertical="center"/>
    </xf>
    <xf numFmtId="2" fontId="19" fillId="5" borderId="14" xfId="0" applyNumberFormat="1" applyFont="1" applyFill="1" applyBorder="1">
      <alignment vertical="center"/>
    </xf>
    <xf numFmtId="38" fontId="19" fillId="0" borderId="88" xfId="1" applyFont="1" applyFill="1" applyBorder="1">
      <alignment vertical="center"/>
    </xf>
    <xf numFmtId="38" fontId="19" fillId="5" borderId="26" xfId="1" applyFont="1" applyFill="1" applyBorder="1">
      <alignment vertical="center"/>
    </xf>
    <xf numFmtId="38" fontId="19" fillId="5" borderId="89" xfId="1" applyFont="1" applyFill="1" applyBorder="1">
      <alignment vertical="center"/>
    </xf>
    <xf numFmtId="38" fontId="19" fillId="0" borderId="87" xfId="1" applyFont="1" applyFill="1" applyBorder="1">
      <alignment vertical="center"/>
    </xf>
    <xf numFmtId="38" fontId="19" fillId="5" borderId="75" xfId="1" applyFont="1" applyFill="1" applyBorder="1">
      <alignment vertical="center"/>
    </xf>
    <xf numFmtId="181" fontId="18" fillId="0" borderId="0" xfId="1" applyNumberFormat="1" applyFont="1" applyFill="1" applyBorder="1" applyAlignment="1">
      <alignment horizontal="right" vertical="center" shrinkToFit="1"/>
    </xf>
    <xf numFmtId="38" fontId="18" fillId="0" borderId="91" xfId="1" applyFont="1" applyFill="1" applyBorder="1">
      <alignment vertical="center"/>
    </xf>
    <xf numFmtId="38" fontId="18" fillId="0" borderId="91" xfId="1" applyFont="1" applyFill="1" applyBorder="1" applyAlignment="1">
      <alignment vertical="center" shrinkToFit="1"/>
    </xf>
    <xf numFmtId="180" fontId="18"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181" fontId="18" fillId="0" borderId="6" xfId="0" applyNumberFormat="1" applyFont="1" applyFill="1" applyBorder="1" applyAlignment="1">
      <alignment horizontal="right" vertical="center"/>
    </xf>
    <xf numFmtId="0" fontId="21" fillId="0" borderId="0" xfId="0" applyFont="1" applyFill="1" applyBorder="1">
      <alignment vertical="center"/>
    </xf>
    <xf numFmtId="181" fontId="18" fillId="0" borderId="6" xfId="0" applyNumberFormat="1" applyFont="1" applyFill="1" applyBorder="1" applyAlignment="1">
      <alignment horizontal="right" vertical="center" shrinkToFit="1"/>
    </xf>
    <xf numFmtId="182" fontId="18" fillId="0" borderId="6" xfId="0" applyNumberFormat="1" applyFont="1" applyFill="1" applyBorder="1" applyAlignment="1">
      <alignment horizontal="right" vertical="center"/>
    </xf>
    <xf numFmtId="177" fontId="18" fillId="0" borderId="6" xfId="0" applyNumberFormat="1" applyFont="1" applyFill="1" applyBorder="1" applyAlignment="1">
      <alignment horizontal="right" vertical="center"/>
    </xf>
    <xf numFmtId="2" fontId="18" fillId="0" borderId="6" xfId="0" applyNumberFormat="1" applyFont="1" applyFill="1" applyBorder="1" applyAlignment="1">
      <alignment horizontal="right" vertical="center"/>
    </xf>
    <xf numFmtId="0" fontId="19" fillId="0" borderId="91" xfId="0" applyFont="1" applyFill="1" applyBorder="1" applyAlignment="1">
      <alignment horizontal="center" vertical="center"/>
    </xf>
    <xf numFmtId="181" fontId="18" fillId="0" borderId="0" xfId="0" applyNumberFormat="1" applyFont="1" applyFill="1" applyBorder="1" applyAlignment="1">
      <alignment horizontal="right" vertical="center"/>
    </xf>
    <xf numFmtId="0" fontId="19" fillId="0" borderId="6" xfId="0" applyFont="1" applyFill="1" applyBorder="1" applyAlignment="1">
      <alignment horizontal="center" vertical="center" wrapText="1"/>
    </xf>
    <xf numFmtId="180" fontId="18" fillId="0" borderId="6" xfId="0" applyNumberFormat="1" applyFont="1" applyFill="1" applyBorder="1">
      <alignment vertical="center"/>
    </xf>
    <xf numFmtId="181" fontId="18" fillId="0" borderId="6" xfId="1" applyNumberFormat="1" applyFont="1" applyFill="1" applyBorder="1" applyAlignment="1">
      <alignment horizontal="right" vertical="center"/>
    </xf>
    <xf numFmtId="181" fontId="18" fillId="0" borderId="6" xfId="1" applyNumberFormat="1" applyFont="1" applyFill="1" applyBorder="1" applyAlignment="1">
      <alignment horizontal="right" vertical="center" shrinkToFit="1"/>
    </xf>
    <xf numFmtId="181" fontId="18" fillId="0" borderId="0" xfId="1" applyNumberFormat="1" applyFont="1" applyFill="1" applyBorder="1" applyAlignment="1">
      <alignment vertical="center" shrinkToFit="1"/>
    </xf>
    <xf numFmtId="181" fontId="18" fillId="0" borderId="0" xfId="1" applyNumberFormat="1" applyFont="1" applyFill="1" applyBorder="1">
      <alignment vertical="center"/>
    </xf>
    <xf numFmtId="184" fontId="18" fillId="0" borderId="6" xfId="0" applyNumberFormat="1" applyFont="1" applyFill="1" applyBorder="1" applyAlignment="1">
      <alignment horizontal="right" vertical="center"/>
    </xf>
    <xf numFmtId="176" fontId="18" fillId="0" borderId="6" xfId="0" applyNumberFormat="1" applyFont="1" applyFill="1" applyBorder="1" applyAlignment="1">
      <alignment horizontal="right" vertical="center"/>
    </xf>
    <xf numFmtId="180" fontId="18" fillId="4" borderId="40" xfId="0" applyNumberFormat="1" applyFont="1" applyFill="1" applyBorder="1" applyAlignment="1">
      <alignment horizontal="right" vertical="center"/>
    </xf>
    <xf numFmtId="180" fontId="18" fillId="6" borderId="42" xfId="0" applyNumberFormat="1" applyFont="1" applyFill="1" applyBorder="1" applyAlignment="1">
      <alignment horizontal="right" vertical="center"/>
    </xf>
    <xf numFmtId="181" fontId="18" fillId="4" borderId="27" xfId="0" applyNumberFormat="1" applyFont="1" applyFill="1" applyBorder="1" applyAlignment="1">
      <alignment horizontal="right" vertical="center"/>
    </xf>
    <xf numFmtId="181" fontId="18" fillId="4" borderId="92" xfId="0" applyNumberFormat="1" applyFont="1" applyFill="1" applyBorder="1" applyAlignment="1">
      <alignment horizontal="right" vertical="center"/>
    </xf>
    <xf numFmtId="181" fontId="18" fillId="4" borderId="24" xfId="1" applyNumberFormat="1" applyFont="1" applyFill="1" applyBorder="1" applyAlignment="1">
      <alignment vertical="center" shrinkToFit="1"/>
    </xf>
    <xf numFmtId="0" fontId="19" fillId="0" borderId="54" xfId="0" applyFont="1" applyBorder="1" applyAlignment="1">
      <alignment horizontal="center" vertical="center" wrapText="1"/>
    </xf>
    <xf numFmtId="0" fontId="19" fillId="0" borderId="95" xfId="0" applyFont="1" applyBorder="1" applyAlignment="1">
      <alignment horizontal="center" vertical="center"/>
    </xf>
    <xf numFmtId="0" fontId="19" fillId="0" borderId="96" xfId="0" applyFont="1" applyBorder="1" applyAlignment="1">
      <alignment horizontal="center" vertical="center"/>
    </xf>
    <xf numFmtId="180" fontId="18" fillId="0" borderId="94" xfId="0" applyNumberFormat="1" applyFont="1" applyBorder="1">
      <alignment vertical="center"/>
    </xf>
    <xf numFmtId="181" fontId="18" fillId="0" borderId="97" xfId="1" applyNumberFormat="1" applyFont="1" applyBorder="1" applyAlignment="1">
      <alignment horizontal="right" vertical="center"/>
    </xf>
    <xf numFmtId="181" fontId="18" fillId="0" borderId="94" xfId="1" applyNumberFormat="1" applyFont="1" applyBorder="1" applyAlignment="1">
      <alignment horizontal="right" vertical="center"/>
    </xf>
    <xf numFmtId="181" fontId="18" fillId="0" borderId="97" xfId="1" applyNumberFormat="1" applyFont="1" applyBorder="1" applyAlignment="1">
      <alignment horizontal="right" vertical="center" shrinkToFit="1"/>
    </xf>
    <xf numFmtId="181" fontId="18" fillId="0" borderId="95" xfId="1" applyNumberFormat="1" applyFont="1" applyBorder="1" applyAlignment="1">
      <alignment horizontal="right" vertical="center" shrinkToFit="1"/>
    </xf>
    <xf numFmtId="182" fontId="18" fillId="0" borderId="97" xfId="0" applyNumberFormat="1" applyFont="1" applyBorder="1" applyAlignment="1">
      <alignment horizontal="right" vertical="center"/>
    </xf>
    <xf numFmtId="184" fontId="18" fillId="0" borderId="97" xfId="0" applyNumberFormat="1" applyFont="1" applyBorder="1" applyAlignment="1">
      <alignment horizontal="right" vertical="center"/>
    </xf>
    <xf numFmtId="176" fontId="18" fillId="0" borderId="97" xfId="0" applyNumberFormat="1" applyFont="1" applyBorder="1" applyAlignment="1">
      <alignment horizontal="right" vertical="center"/>
    </xf>
    <xf numFmtId="181" fontId="18" fillId="6" borderId="24" xfId="1" applyNumberFormat="1" applyFont="1" applyFill="1" applyBorder="1">
      <alignment vertical="center"/>
    </xf>
    <xf numFmtId="181" fontId="18" fillId="6" borderId="24" xfId="1" applyNumberFormat="1" applyFont="1" applyFill="1" applyBorder="1" applyAlignment="1">
      <alignment vertical="center" shrinkToFit="1"/>
    </xf>
    <xf numFmtId="180" fontId="18" fillId="0" borderId="47" xfId="0" applyNumberFormat="1" applyFont="1" applyBorder="1" applyAlignment="1">
      <alignment horizontal="right" vertical="center" shrinkToFit="1"/>
    </xf>
    <xf numFmtId="180" fontId="18" fillId="0" borderId="3" xfId="0" applyNumberFormat="1" applyFont="1" applyBorder="1" applyAlignment="1">
      <alignment horizontal="right" vertical="center" shrinkToFit="1"/>
    </xf>
    <xf numFmtId="0" fontId="21" fillId="0" borderId="0" xfId="0" applyFont="1" applyAlignment="1">
      <alignment vertical="center" shrinkToFit="1"/>
    </xf>
    <xf numFmtId="181" fontId="18" fillId="0" borderId="47" xfId="0" applyNumberFormat="1" applyFont="1" applyBorder="1" applyAlignment="1">
      <alignment horizontal="right" vertical="center" shrinkToFit="1"/>
    </xf>
    <xf numFmtId="181" fontId="18" fillId="0" borderId="2" xfId="0" applyNumberFormat="1" applyFont="1" applyBorder="1" applyAlignment="1">
      <alignment horizontal="right" vertical="center" shrinkToFit="1"/>
    </xf>
    <xf numFmtId="181" fontId="18" fillId="0" borderId="48" xfId="0" applyNumberFormat="1" applyFont="1" applyBorder="1" applyAlignment="1">
      <alignment vertical="center" shrinkToFit="1"/>
    </xf>
    <xf numFmtId="181" fontId="18" fillId="0" borderId="55" xfId="0" applyNumberFormat="1" applyFont="1" applyBorder="1" applyAlignment="1">
      <alignment vertical="center" shrinkToFit="1"/>
    </xf>
    <xf numFmtId="0" fontId="21" fillId="0" borderId="46" xfId="0" applyFont="1" applyBorder="1" applyAlignment="1">
      <alignment vertical="center" shrinkToFit="1"/>
    </xf>
    <xf numFmtId="0" fontId="21" fillId="0" borderId="0" xfId="0" applyFont="1" applyAlignment="1">
      <alignment horizontal="right" vertical="center" shrinkToFit="1"/>
    </xf>
    <xf numFmtId="182" fontId="18" fillId="0" borderId="47" xfId="0" applyNumberFormat="1" applyFont="1" applyBorder="1" applyAlignment="1">
      <alignment horizontal="right" vertical="center" shrinkToFit="1"/>
    </xf>
    <xf numFmtId="180" fontId="18" fillId="0" borderId="3" xfId="0" applyNumberFormat="1" applyFont="1" applyBorder="1" applyAlignment="1">
      <alignment vertical="center" shrinkToFit="1"/>
    </xf>
    <xf numFmtId="0" fontId="6" fillId="0" borderId="0" xfId="0" applyFont="1" applyAlignment="1">
      <alignment horizontal="right" shrinkToFit="1"/>
    </xf>
    <xf numFmtId="181" fontId="18" fillId="0" borderId="3" xfId="1" applyNumberFormat="1" applyFont="1" applyBorder="1" applyAlignment="1">
      <alignment vertical="center" shrinkToFit="1"/>
    </xf>
    <xf numFmtId="181" fontId="18" fillId="0" borderId="2" xfId="0" applyNumberFormat="1" applyFont="1" applyBorder="1" applyAlignment="1">
      <alignment vertical="center" shrinkToFit="1"/>
    </xf>
    <xf numFmtId="182" fontId="18" fillId="0" borderId="3" xfId="0" applyNumberFormat="1" applyFont="1" applyBorder="1" applyAlignment="1">
      <alignment vertical="center" shrinkToFit="1"/>
    </xf>
    <xf numFmtId="183" fontId="18" fillId="0" borderId="3" xfId="0" applyNumberFormat="1" applyFont="1" applyBorder="1" applyAlignment="1">
      <alignment vertical="center" shrinkToFit="1"/>
    </xf>
    <xf numFmtId="0" fontId="6" fillId="0" borderId="46" xfId="0" applyFont="1" applyBorder="1" applyAlignment="1">
      <alignment horizontal="right" shrinkToFit="1"/>
    </xf>
    <xf numFmtId="180" fontId="18" fillId="0" borderId="4" xfId="0" applyNumberFormat="1" applyFont="1" applyBorder="1" applyAlignment="1">
      <alignment horizontal="right" vertical="center" shrinkToFit="1"/>
    </xf>
    <xf numFmtId="0" fontId="6" fillId="0" borderId="46" xfId="0" applyFont="1" applyBorder="1" applyAlignment="1">
      <alignment horizontal="center" vertical="center" shrinkToFit="1"/>
    </xf>
    <xf numFmtId="181" fontId="18" fillId="4" borderId="79" xfId="0" applyNumberFormat="1" applyFont="1" applyFill="1" applyBorder="1" applyAlignment="1">
      <alignment horizontal="right" vertical="center" shrinkToFit="1"/>
    </xf>
    <xf numFmtId="181" fontId="18" fillId="4" borderId="75" xfId="0" applyNumberFormat="1" applyFont="1" applyFill="1" applyBorder="1" applyAlignment="1">
      <alignment horizontal="right" vertical="center" shrinkToFit="1"/>
    </xf>
    <xf numFmtId="181" fontId="18" fillId="4" borderId="73" xfId="0" applyNumberFormat="1" applyFont="1" applyFill="1" applyBorder="1" applyAlignment="1">
      <alignment horizontal="right" vertical="center" shrinkToFit="1"/>
    </xf>
    <xf numFmtId="181" fontId="18" fillId="4" borderId="76" xfId="0" applyNumberFormat="1" applyFont="1" applyFill="1" applyBorder="1" applyAlignment="1">
      <alignment horizontal="right" vertical="center" shrinkToFit="1"/>
    </xf>
    <xf numFmtId="0" fontId="21" fillId="0" borderId="87" xfId="0" applyFont="1" applyBorder="1" applyAlignment="1">
      <alignment vertical="center" shrinkToFit="1"/>
    </xf>
    <xf numFmtId="0" fontId="21" fillId="0" borderId="1" xfId="0" applyFont="1" applyBorder="1" applyAlignment="1">
      <alignment vertical="center" shrinkToFit="1"/>
    </xf>
    <xf numFmtId="182" fontId="18" fillId="0" borderId="3" xfId="0" applyNumberFormat="1" applyFont="1" applyBorder="1" applyAlignment="1">
      <alignment horizontal="right" vertical="center" shrinkToFit="1"/>
    </xf>
    <xf numFmtId="0" fontId="21" fillId="0" borderId="0" xfId="0" applyFont="1" applyBorder="1" applyAlignment="1">
      <alignment horizontal="center" vertical="center" shrinkToFit="1"/>
    </xf>
    <xf numFmtId="2" fontId="18" fillId="0" borderId="3" xfId="0" applyNumberFormat="1" applyFont="1" applyBorder="1" applyAlignment="1">
      <alignment vertical="center" shrinkToFit="1"/>
    </xf>
    <xf numFmtId="2" fontId="18" fillId="0" borderId="3" xfId="0" applyNumberFormat="1" applyFont="1" applyBorder="1" applyAlignment="1">
      <alignment horizontal="right" vertical="center" shrinkToFit="1"/>
    </xf>
    <xf numFmtId="185" fontId="0" fillId="0" borderId="3" xfId="1" applyNumberFormat="1" applyFont="1" applyFill="1" applyBorder="1">
      <alignment vertical="center"/>
    </xf>
    <xf numFmtId="185" fontId="0" fillId="0" borderId="3" xfId="0" applyNumberFormat="1" applyFill="1" applyBorder="1">
      <alignment vertical="center"/>
    </xf>
    <xf numFmtId="0" fontId="10" fillId="0" borderId="3" xfId="2" applyBorder="1" applyAlignment="1">
      <alignment horizontal="center" vertical="center"/>
    </xf>
    <xf numFmtId="0" fontId="19" fillId="0" borderId="54" xfId="0" applyFont="1" applyBorder="1" applyAlignment="1">
      <alignment vertical="center" shrinkToFit="1"/>
    </xf>
    <xf numFmtId="181" fontId="18" fillId="0" borderId="1" xfId="1" applyNumberFormat="1" applyFont="1" applyBorder="1" applyAlignment="1">
      <alignment horizontal="right" vertical="center" shrinkToFit="1"/>
    </xf>
    <xf numFmtId="181" fontId="18" fillId="0" borderId="5" xfId="1" applyNumberFormat="1" applyFont="1" applyBorder="1" applyAlignment="1">
      <alignment horizontal="right" vertical="center" shrinkToFit="1"/>
    </xf>
    <xf numFmtId="181" fontId="18" fillId="0" borderId="54" xfId="1" applyNumberFormat="1" applyFont="1" applyBorder="1" applyAlignment="1">
      <alignment horizontal="right" vertical="center" shrinkToFit="1"/>
    </xf>
    <xf numFmtId="0" fontId="19" fillId="0" borderId="104" xfId="0" applyFont="1" applyBorder="1">
      <alignment vertical="center"/>
    </xf>
    <xf numFmtId="181" fontId="18" fillId="0" borderId="105" xfId="1" applyNumberFormat="1" applyFont="1" applyBorder="1" applyAlignment="1">
      <alignment horizontal="right" vertical="center" shrinkToFit="1"/>
    </xf>
    <xf numFmtId="181" fontId="18" fillId="0" borderId="104" xfId="1" applyNumberFormat="1" applyFont="1" applyBorder="1" applyAlignment="1">
      <alignment horizontal="right" vertical="center" shrinkToFit="1"/>
    </xf>
    <xf numFmtId="181" fontId="18" fillId="0" borderId="103" xfId="0" applyNumberFormat="1" applyFont="1" applyBorder="1" applyAlignment="1">
      <alignment horizontal="right" vertical="center" shrinkToFit="1"/>
    </xf>
    <xf numFmtId="181" fontId="18" fillId="0" borderId="104" xfId="0" applyNumberFormat="1" applyFont="1" applyBorder="1" applyAlignment="1">
      <alignment vertical="center" shrinkToFit="1"/>
    </xf>
    <xf numFmtId="181" fontId="18" fillId="0" borderId="6" xfId="0" applyNumberFormat="1" applyFont="1" applyBorder="1" applyAlignment="1">
      <alignment horizontal="right" vertical="center" shrinkToFit="1"/>
    </xf>
    <xf numFmtId="181" fontId="18" fillId="0" borderId="6" xfId="0" applyNumberFormat="1" applyFont="1" applyBorder="1" applyAlignment="1">
      <alignment vertical="center" shrinkToFit="1"/>
    </xf>
    <xf numFmtId="0" fontId="19" fillId="0" borderId="103" xfId="0" applyFont="1" applyBorder="1" applyAlignment="1">
      <alignment vertical="center" shrinkToFit="1"/>
    </xf>
    <xf numFmtId="181" fontId="18" fillId="0" borderId="106" xfId="0" applyNumberFormat="1" applyFont="1" applyBorder="1" applyAlignment="1">
      <alignment horizontal="right" vertical="center" shrinkToFit="1"/>
    </xf>
    <xf numFmtId="181" fontId="18" fillId="0" borderId="107" xfId="0" applyNumberFormat="1" applyFont="1" applyBorder="1" applyAlignment="1">
      <alignment horizontal="right" vertical="center" shrinkToFit="1"/>
    </xf>
    <xf numFmtId="0" fontId="19" fillId="0" borderId="2" xfId="0" applyFont="1" applyBorder="1">
      <alignment vertical="center"/>
    </xf>
    <xf numFmtId="0" fontId="19" fillId="0" borderId="53" xfId="0" applyFont="1" applyBorder="1" applyAlignment="1">
      <alignment vertical="center" shrinkToFit="1"/>
    </xf>
    <xf numFmtId="176" fontId="18" fillId="8" borderId="3" xfId="0" applyNumberFormat="1" applyFont="1" applyFill="1" applyBorder="1">
      <alignment vertical="center"/>
    </xf>
    <xf numFmtId="0" fontId="0" fillId="8" borderId="86" xfId="0" applyFill="1" applyBorder="1">
      <alignment vertical="center"/>
    </xf>
    <xf numFmtId="0" fontId="20" fillId="7" borderId="2" xfId="0" applyFont="1" applyFill="1" applyBorder="1" applyAlignment="1">
      <alignment horizontal="center" vertical="center" wrapText="1"/>
    </xf>
    <xf numFmtId="0" fontId="19" fillId="7" borderId="5" xfId="0" applyFont="1" applyFill="1" applyBorder="1" applyAlignment="1">
      <alignment horizontal="center" vertical="center"/>
    </xf>
    <xf numFmtId="180" fontId="18" fillId="7" borderId="3" xfId="0" applyNumberFormat="1" applyFont="1" applyFill="1" applyBorder="1" applyAlignment="1">
      <alignment vertical="center" shrinkToFit="1"/>
    </xf>
    <xf numFmtId="181" fontId="18" fillId="7" borderId="3" xfId="0" applyNumberFormat="1" applyFont="1" applyFill="1" applyBorder="1" applyAlignment="1">
      <alignment vertical="center" shrinkToFit="1"/>
    </xf>
    <xf numFmtId="181" fontId="18" fillId="7" borderId="2" xfId="0" applyNumberFormat="1" applyFont="1" applyFill="1" applyBorder="1" applyAlignment="1">
      <alignment vertical="center" shrinkToFit="1"/>
    </xf>
    <xf numFmtId="181" fontId="18" fillId="7" borderId="48" xfId="0" applyNumberFormat="1" applyFont="1" applyFill="1" applyBorder="1" applyAlignment="1">
      <alignment vertical="center" shrinkToFit="1"/>
    </xf>
    <xf numFmtId="181" fontId="18" fillId="7" borderId="5" xfId="0" applyNumberFormat="1" applyFont="1" applyFill="1" applyBorder="1" applyAlignment="1">
      <alignment vertical="center" shrinkToFit="1"/>
    </xf>
    <xf numFmtId="181" fontId="18" fillId="7" borderId="104" xfId="0" applyNumberFormat="1" applyFont="1" applyFill="1" applyBorder="1" applyAlignment="1">
      <alignment vertical="center" shrinkToFit="1"/>
    </xf>
    <xf numFmtId="182" fontId="18" fillId="7" borderId="3" xfId="0" applyNumberFormat="1" applyFont="1" applyFill="1" applyBorder="1" applyAlignment="1">
      <alignment vertical="center" shrinkToFit="1"/>
    </xf>
    <xf numFmtId="183" fontId="18" fillId="7" borderId="3" xfId="0" applyNumberFormat="1" applyFont="1" applyFill="1" applyBorder="1" applyAlignment="1">
      <alignment vertical="center" shrinkToFit="1"/>
    </xf>
    <xf numFmtId="38" fontId="18" fillId="7" borderId="3" xfId="1" applyFont="1" applyFill="1" applyBorder="1" applyAlignment="1">
      <alignment vertical="center" shrinkToFit="1"/>
    </xf>
    <xf numFmtId="0" fontId="18" fillId="0" borderId="0" xfId="0" applyFont="1" applyAlignment="1">
      <alignment vertical="center" wrapText="1"/>
    </xf>
    <xf numFmtId="0" fontId="18" fillId="0" borderId="0" xfId="0" applyFont="1" applyAlignment="1">
      <alignment horizontal="right" vertical="center"/>
    </xf>
    <xf numFmtId="0" fontId="19" fillId="0" borderId="0" xfId="0" applyFont="1" applyBorder="1" applyAlignment="1">
      <alignment horizontal="right" vertical="center"/>
    </xf>
    <xf numFmtId="0" fontId="19" fillId="0" borderId="8"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10" xfId="0" applyFont="1" applyBorder="1" applyAlignment="1">
      <alignment horizontal="center" vertical="center"/>
    </xf>
    <xf numFmtId="0" fontId="19" fillId="0" borderId="110" xfId="0" applyFont="1" applyBorder="1" applyAlignment="1">
      <alignment horizontal="center" vertical="center" wrapText="1"/>
    </xf>
    <xf numFmtId="0" fontId="21" fillId="0" borderId="54" xfId="0" applyFont="1" applyBorder="1" applyAlignment="1">
      <alignment horizontal="center" vertical="center" wrapText="1"/>
    </xf>
    <xf numFmtId="0" fontId="20" fillId="0" borderId="5" xfId="0" applyFont="1" applyBorder="1" applyAlignment="1">
      <alignment horizontal="center" vertical="center" wrapText="1"/>
    </xf>
    <xf numFmtId="185" fontId="0" fillId="0" borderId="4" xfId="1" applyNumberFormat="1" applyFont="1" applyFill="1" applyBorder="1">
      <alignment vertical="center"/>
    </xf>
    <xf numFmtId="185" fontId="0" fillId="0" borderId="47" xfId="1" applyNumberFormat="1" applyFont="1" applyFill="1" applyBorder="1">
      <alignment vertical="center"/>
    </xf>
    <xf numFmtId="188" fontId="0" fillId="0" borderId="111" xfId="1" applyNumberFormat="1" applyFont="1" applyFill="1" applyBorder="1">
      <alignment vertical="center"/>
    </xf>
    <xf numFmtId="188" fontId="0" fillId="0" borderId="111" xfId="1" applyNumberFormat="1" applyFont="1" applyFill="1" applyBorder="1" applyAlignment="1">
      <alignment horizontal="right" vertical="center"/>
    </xf>
    <xf numFmtId="40" fontId="0" fillId="0" borderId="111" xfId="1" applyNumberFormat="1" applyFont="1" applyFill="1" applyBorder="1">
      <alignment vertical="center"/>
    </xf>
    <xf numFmtId="186" fontId="0" fillId="0" borderId="111" xfId="0" applyNumberFormat="1" applyFill="1" applyBorder="1">
      <alignment vertical="center"/>
    </xf>
    <xf numFmtId="186" fontId="0" fillId="0" borderId="110" xfId="0" applyNumberFormat="1" applyFill="1" applyBorder="1">
      <alignment vertical="center"/>
    </xf>
    <xf numFmtId="187" fontId="0" fillId="0" borderId="3" xfId="0" applyNumberFormat="1" applyFill="1" applyBorder="1">
      <alignment vertical="center"/>
    </xf>
    <xf numFmtId="0" fontId="6" fillId="0" borderId="3" xfId="0" applyFont="1" applyFill="1" applyBorder="1">
      <alignment vertical="center"/>
    </xf>
    <xf numFmtId="178" fontId="0" fillId="0" borderId="4" xfId="4" applyNumberFormat="1" applyFont="1" applyFill="1" applyBorder="1">
      <alignment vertical="center"/>
    </xf>
    <xf numFmtId="0" fontId="4" fillId="0" borderId="3" xfId="0" applyFont="1" applyFill="1" applyBorder="1" applyAlignment="1">
      <alignment vertical="center" wrapText="1"/>
    </xf>
    <xf numFmtId="0" fontId="7" fillId="0" borderId="3" xfId="0" applyFont="1" applyFill="1" applyBorder="1" applyAlignment="1">
      <alignment vertical="center" wrapText="1"/>
    </xf>
    <xf numFmtId="186" fontId="0" fillId="0" borderId="111" xfId="1" applyNumberFormat="1" applyFont="1" applyFill="1" applyBorder="1">
      <alignment vertical="center"/>
    </xf>
    <xf numFmtId="186" fontId="0" fillId="0" borderId="111" xfId="0" applyNumberFormat="1" applyFill="1" applyBorder="1" applyAlignment="1">
      <alignment horizontal="right" vertical="center"/>
    </xf>
    <xf numFmtId="0" fontId="4" fillId="0" borderId="3" xfId="0" applyFont="1" applyFill="1" applyBorder="1">
      <alignment vertical="center"/>
    </xf>
    <xf numFmtId="185" fontId="0" fillId="0" borderId="3" xfId="1" applyNumberFormat="1" applyFont="1" applyFill="1" applyBorder="1" applyAlignment="1">
      <alignment vertical="center" shrinkToFit="1"/>
    </xf>
    <xf numFmtId="38" fontId="4" fillId="0" borderId="3" xfId="1" applyFont="1" applyFill="1" applyBorder="1" applyAlignment="1">
      <alignment vertical="center" wrapText="1"/>
    </xf>
    <xf numFmtId="38" fontId="0" fillId="0" borderId="3" xfId="1" applyFont="1" applyFill="1" applyBorder="1" applyAlignment="1">
      <alignment vertical="center" wrapText="1"/>
    </xf>
    <xf numFmtId="0" fontId="6" fillId="0" borderId="3" xfId="0" applyFont="1" applyFill="1" applyBorder="1" applyAlignment="1">
      <alignment vertical="center" wrapText="1"/>
    </xf>
    <xf numFmtId="178" fontId="0" fillId="0" borderId="3" xfId="4" applyNumberFormat="1" applyFont="1" applyFill="1" applyBorder="1">
      <alignment vertical="center"/>
    </xf>
    <xf numFmtId="0" fontId="9" fillId="0" borderId="3" xfId="0" applyFont="1" applyFill="1" applyBorder="1" applyAlignment="1">
      <alignment vertical="center" wrapText="1"/>
    </xf>
    <xf numFmtId="0" fontId="5" fillId="0" borderId="3" xfId="0" applyFont="1" applyFill="1" applyBorder="1" applyAlignment="1">
      <alignment vertical="center" wrapText="1"/>
    </xf>
    <xf numFmtId="185" fontId="0" fillId="0" borderId="4" xfId="0" applyNumberFormat="1" applyFill="1" applyBorder="1">
      <alignment vertical="center"/>
    </xf>
    <xf numFmtId="185" fontId="0" fillId="0" borderId="47" xfId="0" applyNumberFormat="1" applyFill="1" applyBorder="1">
      <alignment vertical="center"/>
    </xf>
    <xf numFmtId="38" fontId="7" fillId="0" borderId="3" xfId="1" applyFont="1" applyFill="1" applyBorder="1" applyAlignment="1">
      <alignment vertical="center" wrapText="1"/>
    </xf>
    <xf numFmtId="186" fontId="0" fillId="0" borderId="111" xfId="0" applyNumberFormat="1" applyFill="1" applyBorder="1" applyAlignment="1">
      <alignment horizontal="center" vertical="center"/>
    </xf>
    <xf numFmtId="0" fontId="5" fillId="0" borderId="3" xfId="0" applyFont="1" applyFill="1" applyBorder="1">
      <alignment vertical="center"/>
    </xf>
    <xf numFmtId="189" fontId="0" fillId="0" borderId="3" xfId="1" applyNumberFormat="1" applyFont="1" applyFill="1" applyBorder="1">
      <alignment vertical="center"/>
    </xf>
    <xf numFmtId="190" fontId="0" fillId="0" borderId="3" xfId="1" applyNumberFormat="1" applyFont="1" applyFill="1" applyBorder="1">
      <alignment vertical="center"/>
    </xf>
    <xf numFmtId="191" fontId="0" fillId="0" borderId="3" xfId="1" applyNumberFormat="1" applyFont="1" applyFill="1" applyBorder="1">
      <alignment vertical="center"/>
    </xf>
    <xf numFmtId="189" fontId="0" fillId="0" borderId="3" xfId="0" applyNumberFormat="1" applyFill="1" applyBorder="1">
      <alignment vertical="center"/>
    </xf>
    <xf numFmtId="190" fontId="0" fillId="0" borderId="3" xfId="0" applyNumberFormat="1" applyFill="1" applyBorder="1">
      <alignment vertical="center"/>
    </xf>
    <xf numFmtId="0" fontId="5" fillId="0" borderId="5" xfId="0" applyFont="1" applyBorder="1" applyAlignment="1">
      <alignment horizontal="center" vertical="center" wrapText="1"/>
    </xf>
    <xf numFmtId="0" fontId="19" fillId="0" borderId="0" xfId="0" applyFont="1" applyAlignment="1">
      <alignment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33" fillId="0" borderId="0" xfId="0" applyFont="1">
      <alignment vertical="center"/>
    </xf>
    <xf numFmtId="0" fontId="0" fillId="0" borderId="3" xfId="0" applyBorder="1" applyAlignment="1">
      <alignment horizontal="center" vertical="center"/>
    </xf>
    <xf numFmtId="0" fontId="8" fillId="0" borderId="3" xfId="0" applyFont="1" applyFill="1" applyBorder="1" applyAlignment="1">
      <alignment horizontal="left" vertical="center"/>
    </xf>
    <xf numFmtId="0" fontId="28" fillId="0" borderId="3" xfId="0" applyFont="1" applyFill="1" applyBorder="1" applyAlignment="1">
      <alignment vertical="center" wrapText="1"/>
    </xf>
    <xf numFmtId="0" fontId="28" fillId="0" borderId="3" xfId="0" applyFont="1" applyBorder="1" applyAlignment="1">
      <alignment horizontal="left" vertical="center"/>
    </xf>
    <xf numFmtId="0" fontId="28" fillId="0" borderId="3" xfId="0" applyFont="1" applyBorder="1" applyAlignment="1">
      <alignment vertical="center"/>
    </xf>
    <xf numFmtId="0" fontId="28" fillId="0" borderId="3" xfId="0" applyFont="1" applyBorder="1" applyAlignment="1">
      <alignment vertical="center" wrapText="1"/>
    </xf>
    <xf numFmtId="0" fontId="28" fillId="0" borderId="3" xfId="0" applyFont="1" applyBorder="1">
      <alignment vertical="center"/>
    </xf>
    <xf numFmtId="0" fontId="28" fillId="0" borderId="3" xfId="0" applyFont="1" applyBorder="1" applyAlignment="1">
      <alignment horizontal="right" vertical="center"/>
    </xf>
    <xf numFmtId="0" fontId="28" fillId="0" borderId="3" xfId="0" applyFont="1" applyFill="1" applyBorder="1" applyAlignment="1">
      <alignment vertical="center"/>
    </xf>
    <xf numFmtId="0" fontId="28" fillId="0" borderId="3" xfId="0" applyFont="1" applyFill="1" applyBorder="1">
      <alignment vertical="center"/>
    </xf>
    <xf numFmtId="0" fontId="0" fillId="0" borderId="3" xfId="0" applyBorder="1" applyAlignment="1">
      <alignment horizontal="center" vertical="center"/>
    </xf>
    <xf numFmtId="0" fontId="19" fillId="0" borderId="1" xfId="0" applyFont="1" applyBorder="1" applyAlignment="1">
      <alignment horizontal="center" vertical="center"/>
    </xf>
    <xf numFmtId="0" fontId="19" fillId="0" borderId="5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46" xfId="0" applyFont="1" applyBorder="1" applyAlignment="1">
      <alignment horizontal="center" vertical="center"/>
    </xf>
    <xf numFmtId="0" fontId="19" fillId="6" borderId="51" xfId="0" applyFont="1" applyFill="1" applyBorder="1">
      <alignment vertical="center"/>
    </xf>
    <xf numFmtId="181" fontId="18" fillId="6" borderId="74" xfId="0" applyNumberFormat="1" applyFont="1" applyFill="1" applyBorder="1" applyAlignment="1">
      <alignment horizontal="right" vertical="center" shrinkToFit="1"/>
    </xf>
    <xf numFmtId="181" fontId="18" fillId="6" borderId="77" xfId="0" applyNumberFormat="1" applyFont="1" applyFill="1" applyBorder="1" applyAlignment="1">
      <alignment horizontal="right" vertical="center" shrinkToFit="1"/>
    </xf>
    <xf numFmtId="0" fontId="19" fillId="6" borderId="80" xfId="0" applyFont="1" applyFill="1" applyBorder="1">
      <alignment vertical="center"/>
    </xf>
    <xf numFmtId="181" fontId="18" fillId="6" borderId="81" xfId="0" applyNumberFormat="1" applyFont="1" applyFill="1" applyBorder="1" applyAlignment="1">
      <alignment horizontal="right" vertical="center" shrinkToFit="1"/>
    </xf>
    <xf numFmtId="181" fontId="18" fillId="6" borderId="71" xfId="0" applyNumberFormat="1" applyFont="1" applyFill="1" applyBorder="1" applyAlignment="1">
      <alignment horizontal="right" vertical="center" shrinkToFit="1"/>
    </xf>
    <xf numFmtId="181" fontId="18" fillId="6" borderId="93" xfId="0" applyNumberFormat="1" applyFont="1" applyFill="1" applyBorder="1" applyAlignment="1">
      <alignment horizontal="right" vertical="center"/>
    </xf>
    <xf numFmtId="181" fontId="18" fillId="6" borderId="34" xfId="0" applyNumberFormat="1" applyFont="1" applyFill="1" applyBorder="1" applyAlignment="1">
      <alignment horizontal="right" vertical="center"/>
    </xf>
    <xf numFmtId="0" fontId="19" fillId="6" borderId="108" xfId="0" applyFont="1" applyFill="1" applyBorder="1" applyAlignment="1">
      <alignment vertical="center" shrinkToFit="1"/>
    </xf>
    <xf numFmtId="181" fontId="18" fillId="6" borderId="21" xfId="1" applyNumberFormat="1" applyFont="1" applyFill="1" applyBorder="1" applyAlignment="1">
      <alignment horizontal="right" vertical="center" shrinkToFit="1"/>
    </xf>
    <xf numFmtId="181" fontId="18" fillId="6" borderId="18" xfId="1" applyNumberFormat="1" applyFont="1" applyFill="1" applyBorder="1" applyAlignment="1">
      <alignment horizontal="right" vertical="center" shrinkToFit="1"/>
    </xf>
    <xf numFmtId="0" fontId="0" fillId="0" borderId="3" xfId="0" applyBorder="1" applyAlignment="1">
      <alignment horizontal="center" vertical="center"/>
    </xf>
    <xf numFmtId="0" fontId="28" fillId="0" borderId="3" xfId="0" applyFont="1" applyBorder="1" applyAlignment="1">
      <alignment vertical="center" shrinkToFit="1"/>
    </xf>
    <xf numFmtId="188" fontId="0" fillId="0" borderId="111" xfId="0" applyNumberFormat="1" applyFill="1" applyBorder="1">
      <alignment vertical="center"/>
    </xf>
    <xf numFmtId="0" fontId="19" fillId="0" borderId="5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38" fontId="19" fillId="0" borderId="64" xfId="1" applyFont="1" applyFill="1" applyBorder="1">
      <alignment vertical="center"/>
    </xf>
    <xf numFmtId="38" fontId="19" fillId="0" borderId="63" xfId="1" applyFont="1" applyFill="1" applyBorder="1">
      <alignment vertical="center"/>
    </xf>
    <xf numFmtId="2" fontId="19" fillId="5" borderId="60" xfId="0" applyNumberFormat="1" applyFont="1" applyFill="1" applyBorder="1">
      <alignment vertical="center"/>
    </xf>
    <xf numFmtId="2" fontId="19" fillId="5" borderId="19" xfId="0" applyNumberFormat="1" applyFont="1" applyFill="1" applyBorder="1">
      <alignment vertical="center"/>
    </xf>
    <xf numFmtId="2" fontId="19" fillId="5" borderId="87" xfId="0" applyNumberFormat="1" applyFont="1" applyFill="1" applyBorder="1">
      <alignment vertical="center"/>
    </xf>
    <xf numFmtId="180" fontId="18" fillId="7" borderId="3" xfId="0" applyNumberFormat="1" applyFont="1" applyFill="1" applyBorder="1" applyAlignment="1">
      <alignment horizontal="right" vertical="center" shrinkToFit="1"/>
    </xf>
    <xf numFmtId="181" fontId="18" fillId="7" borderId="3" xfId="0" applyNumberFormat="1" applyFont="1" applyFill="1" applyBorder="1" applyAlignment="1">
      <alignment horizontal="right" vertical="center" shrinkToFit="1"/>
    </xf>
    <xf numFmtId="181" fontId="18" fillId="7" borderId="6" xfId="0" applyNumberFormat="1" applyFont="1" applyFill="1" applyBorder="1" applyAlignment="1">
      <alignment horizontal="right" vertical="center" shrinkToFit="1"/>
    </xf>
    <xf numFmtId="181" fontId="18" fillId="7" borderId="104" xfId="1" applyNumberFormat="1" applyFont="1" applyFill="1" applyBorder="1" applyAlignment="1">
      <alignment horizontal="right" vertical="center" shrinkToFit="1"/>
    </xf>
    <xf numFmtId="181" fontId="18" fillId="7" borderId="5" xfId="1" applyNumberFormat="1" applyFont="1" applyFill="1" applyBorder="1" applyAlignment="1">
      <alignment horizontal="right" vertical="center" shrinkToFit="1"/>
    </xf>
    <xf numFmtId="182" fontId="18" fillId="7" borderId="3" xfId="0" applyNumberFormat="1" applyFont="1" applyFill="1" applyBorder="1" applyAlignment="1">
      <alignment horizontal="right" vertical="center" shrinkToFit="1"/>
    </xf>
    <xf numFmtId="181" fontId="18" fillId="7" borderId="3" xfId="1" applyNumberFormat="1" applyFont="1" applyFill="1" applyBorder="1" applyAlignment="1">
      <alignment vertical="center" shrinkToFit="1"/>
    </xf>
    <xf numFmtId="2" fontId="18" fillId="7" borderId="3" xfId="0" applyNumberFormat="1" applyFont="1" applyFill="1" applyBorder="1" applyAlignment="1">
      <alignment vertical="center" shrinkToFit="1"/>
    </xf>
    <xf numFmtId="2" fontId="18" fillId="7" borderId="3" xfId="0" applyNumberFormat="1" applyFont="1" applyFill="1" applyBorder="1" applyAlignment="1">
      <alignment horizontal="right" vertical="center" shrinkToFit="1"/>
    </xf>
    <xf numFmtId="38" fontId="19" fillId="5" borderId="31" xfId="1" applyFont="1" applyFill="1" applyBorder="1">
      <alignment vertical="center"/>
    </xf>
    <xf numFmtId="38" fontId="19" fillId="5" borderId="67" xfId="1" applyFont="1" applyFill="1" applyBorder="1">
      <alignment vertical="center"/>
    </xf>
    <xf numFmtId="38" fontId="19" fillId="5" borderId="66" xfId="1" applyFont="1" applyFill="1" applyBorder="1">
      <alignment vertical="center"/>
    </xf>
    <xf numFmtId="0" fontId="19" fillId="0" borderId="83" xfId="0" applyFont="1" applyFill="1" applyBorder="1">
      <alignment vertical="center"/>
    </xf>
    <xf numFmtId="0" fontId="19" fillId="0" borderId="84" xfId="0" applyFont="1" applyFill="1" applyBorder="1">
      <alignment vertical="center"/>
    </xf>
    <xf numFmtId="0" fontId="19" fillId="0" borderId="88" xfId="0" applyFont="1" applyFill="1" applyBorder="1">
      <alignment vertical="center"/>
    </xf>
    <xf numFmtId="2" fontId="19" fillId="0" borderId="69" xfId="0" applyNumberFormat="1" applyFont="1" applyFill="1" applyBorder="1" applyAlignment="1">
      <alignment horizontal="right" vertical="center"/>
    </xf>
    <xf numFmtId="0" fontId="19" fillId="0" borderId="65" xfId="0" applyFont="1" applyFill="1" applyBorder="1">
      <alignment vertical="center"/>
    </xf>
    <xf numFmtId="38" fontId="19" fillId="5" borderId="60" xfId="1" applyFont="1" applyFill="1" applyBorder="1">
      <alignment vertical="center"/>
    </xf>
    <xf numFmtId="38" fontId="19" fillId="5" borderId="19" xfId="1" applyFont="1" applyFill="1" applyBorder="1">
      <alignment vertical="center"/>
    </xf>
    <xf numFmtId="38" fontId="19" fillId="5" borderId="87" xfId="1" applyFont="1" applyFill="1" applyBorder="1">
      <alignment vertical="center"/>
    </xf>
    <xf numFmtId="38" fontId="19" fillId="5" borderId="12" xfId="1" applyFont="1" applyFill="1" applyBorder="1">
      <alignment vertical="center"/>
    </xf>
    <xf numFmtId="38" fontId="19" fillId="5" borderId="40" xfId="1" applyFont="1" applyFill="1" applyBorder="1" applyAlignment="1">
      <alignment horizontal="right" vertical="center"/>
    </xf>
    <xf numFmtId="0" fontId="19" fillId="5" borderId="40" xfId="0" applyFont="1" applyFill="1" applyBorder="1">
      <alignment vertical="center"/>
    </xf>
    <xf numFmtId="2" fontId="19" fillId="0" borderId="37" xfId="0" applyNumberFormat="1" applyFont="1" applyFill="1" applyBorder="1">
      <alignment vertical="center"/>
    </xf>
    <xf numFmtId="2" fontId="19" fillId="0" borderId="78" xfId="0" applyNumberFormat="1" applyFont="1" applyFill="1" applyBorder="1">
      <alignment vertical="center"/>
    </xf>
    <xf numFmtId="2" fontId="19" fillId="0" borderId="89" xfId="0" applyNumberFormat="1" applyFont="1" applyFill="1" applyBorder="1">
      <alignment vertical="center"/>
    </xf>
    <xf numFmtId="2" fontId="19" fillId="0" borderId="37" xfId="0" applyNumberFormat="1" applyFont="1" applyFill="1" applyBorder="1" applyAlignment="1">
      <alignment horizontal="right" vertical="center"/>
    </xf>
    <xf numFmtId="0" fontId="19" fillId="0" borderId="56" xfId="0" applyFont="1" applyFill="1" applyBorder="1">
      <alignment vertical="center"/>
    </xf>
    <xf numFmtId="0" fontId="19" fillId="0" borderId="27" xfId="0" applyFont="1" applyFill="1" applyBorder="1">
      <alignment vertical="center"/>
    </xf>
    <xf numFmtId="38" fontId="19" fillId="0" borderId="13" xfId="1" applyFont="1" applyFill="1" applyBorder="1" applyAlignment="1">
      <alignment horizontal="right" vertical="center"/>
    </xf>
    <xf numFmtId="0" fontId="19" fillId="0" borderId="59" xfId="0" applyFont="1" applyFill="1" applyBorder="1" applyAlignment="1">
      <alignment horizontal="right" vertical="center"/>
    </xf>
    <xf numFmtId="0" fontId="19" fillId="0" borderId="14" xfId="0" applyFont="1" applyFill="1" applyBorder="1" applyAlignment="1">
      <alignment horizontal="right" vertical="center"/>
    </xf>
    <xf numFmtId="38" fontId="19" fillId="0" borderId="69" xfId="1" applyFont="1" applyFill="1" applyBorder="1" applyAlignment="1">
      <alignment horizontal="right" vertical="center"/>
    </xf>
    <xf numFmtId="0" fontId="19" fillId="0" borderId="64" xfId="0" applyFont="1" applyFill="1" applyBorder="1" applyAlignment="1">
      <alignment horizontal="right" vertical="center"/>
    </xf>
    <xf numFmtId="0" fontId="19" fillId="0" borderId="63" xfId="0" applyFont="1" applyFill="1" applyBorder="1" applyAlignment="1">
      <alignment horizontal="right" vertical="center"/>
    </xf>
    <xf numFmtId="38" fontId="19" fillId="5" borderId="57" xfId="1" applyFont="1" applyFill="1" applyBorder="1">
      <alignment vertical="center"/>
    </xf>
    <xf numFmtId="181" fontId="18" fillId="0" borderId="94" xfId="0" applyNumberFormat="1" applyFont="1" applyBorder="1" applyAlignment="1">
      <alignment horizontal="right" vertical="center" shrinkToFit="1"/>
    </xf>
    <xf numFmtId="181" fontId="18" fillId="0" borderId="97" xfId="0" applyNumberFormat="1" applyFont="1" applyBorder="1" applyAlignment="1">
      <alignment horizontal="right" vertical="center" shrinkToFit="1"/>
    </xf>
    <xf numFmtId="38" fontId="19" fillId="5" borderId="112" xfId="1" applyFont="1" applyFill="1" applyBorder="1">
      <alignment vertical="center"/>
    </xf>
    <xf numFmtId="38" fontId="19" fillId="0" borderId="60" xfId="0" applyNumberFormat="1" applyFont="1" applyFill="1" applyBorder="1">
      <alignment vertical="center"/>
    </xf>
    <xf numFmtId="177" fontId="19" fillId="0" borderId="25" xfId="0" applyNumberFormat="1" applyFont="1" applyFill="1" applyBorder="1">
      <alignment vertical="center"/>
    </xf>
    <xf numFmtId="177" fontId="19" fillId="0" borderId="20" xfId="0" applyNumberFormat="1" applyFont="1" applyFill="1" applyBorder="1">
      <alignment vertical="center"/>
    </xf>
    <xf numFmtId="177" fontId="19" fillId="0" borderId="90" xfId="0" applyNumberFormat="1" applyFont="1" applyFill="1" applyBorder="1">
      <alignment vertical="center"/>
    </xf>
    <xf numFmtId="2" fontId="19" fillId="0" borderId="34" xfId="0" applyNumberFormat="1" applyFont="1" applyFill="1" applyBorder="1" applyAlignment="1">
      <alignment horizontal="right" vertical="center"/>
    </xf>
    <xf numFmtId="0" fontId="19" fillId="0" borderId="39" xfId="0" applyFont="1" applyFill="1" applyBorder="1" applyAlignment="1">
      <alignment horizontal="right" vertical="center"/>
    </xf>
    <xf numFmtId="0" fontId="19" fillId="0" borderId="71" xfId="0" applyFont="1" applyFill="1" applyBorder="1" applyAlignment="1">
      <alignment horizontal="right" vertical="center"/>
    </xf>
    <xf numFmtId="2" fontId="19" fillId="0" borderId="42" xfId="0" applyNumberFormat="1" applyFont="1" applyFill="1" applyBorder="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1" fillId="0" borderId="0" xfId="0" applyFont="1" applyFill="1" applyBorder="1" applyAlignment="1">
      <alignment horizontal="right"/>
    </xf>
    <xf numFmtId="38" fontId="19" fillId="0" borderId="27" xfId="1" applyFont="1" applyFill="1" applyBorder="1" applyAlignment="1">
      <alignment horizontal="right" vertical="center"/>
    </xf>
    <xf numFmtId="38" fontId="19" fillId="0" borderId="25" xfId="1" applyFont="1" applyFill="1" applyBorder="1">
      <alignment vertical="center"/>
    </xf>
    <xf numFmtId="38" fontId="19" fillId="0" borderId="20" xfId="1" applyFont="1" applyFill="1" applyBorder="1">
      <alignment vertical="center"/>
    </xf>
    <xf numFmtId="38" fontId="19" fillId="0" borderId="90" xfId="1" applyFont="1" applyFill="1" applyBorder="1">
      <alignment vertical="center"/>
    </xf>
    <xf numFmtId="38" fontId="19" fillId="0" borderId="16" xfId="1" applyFont="1" applyFill="1" applyBorder="1">
      <alignment vertical="center"/>
    </xf>
    <xf numFmtId="38" fontId="19" fillId="0" borderId="42" xfId="1" applyFont="1" applyFill="1" applyBorder="1" applyAlignment="1">
      <alignment horizontal="right" vertical="center"/>
    </xf>
    <xf numFmtId="0" fontId="19" fillId="0" borderId="25" xfId="0" applyFont="1" applyFill="1" applyBorder="1" applyAlignment="1">
      <alignment horizontal="right" vertical="center"/>
    </xf>
    <xf numFmtId="0" fontId="19" fillId="0" borderId="16" xfId="0" applyFont="1" applyFill="1" applyBorder="1" applyAlignment="1">
      <alignment horizontal="right" vertical="center"/>
    </xf>
    <xf numFmtId="38" fontId="19" fillId="0" borderId="42" xfId="1" applyFont="1" applyFill="1" applyBorder="1">
      <alignment vertical="center"/>
    </xf>
    <xf numFmtId="38" fontId="19" fillId="0" borderId="30" xfId="1" applyFont="1" applyFill="1" applyBorder="1" applyAlignment="1">
      <alignment horizontal="right" vertical="center"/>
    </xf>
    <xf numFmtId="38" fontId="19" fillId="0" borderId="30" xfId="1" applyFont="1" applyFill="1" applyBorder="1">
      <alignment vertical="center"/>
    </xf>
    <xf numFmtId="38" fontId="19" fillId="0" borderId="43" xfId="1" applyFont="1" applyFill="1" applyBorder="1">
      <alignment vertical="center"/>
    </xf>
    <xf numFmtId="38" fontId="19" fillId="0" borderId="37" xfId="1" applyFont="1" applyFill="1" applyBorder="1">
      <alignment vertical="center"/>
    </xf>
    <xf numFmtId="38" fontId="19" fillId="0" borderId="78" xfId="1" applyFont="1" applyFill="1" applyBorder="1">
      <alignment vertical="center"/>
    </xf>
    <xf numFmtId="38" fontId="19" fillId="0" borderId="89" xfId="1" applyFont="1" applyFill="1" applyBorder="1">
      <alignment vertical="center"/>
    </xf>
    <xf numFmtId="0" fontId="8" fillId="0" borderId="0" xfId="0" applyFont="1" applyFill="1">
      <alignment vertical="center"/>
    </xf>
    <xf numFmtId="38" fontId="19" fillId="0" borderId="27" xfId="1" applyFont="1" applyFill="1" applyBorder="1">
      <alignment vertical="center"/>
    </xf>
    <xf numFmtId="177" fontId="19" fillId="0" borderId="59" xfId="0" applyNumberFormat="1" applyFont="1" applyFill="1" applyBorder="1">
      <alignment vertical="center"/>
    </xf>
    <xf numFmtId="177" fontId="19" fillId="0" borderId="3" xfId="0" applyNumberFormat="1" applyFont="1" applyFill="1" applyBorder="1">
      <alignment vertical="center"/>
    </xf>
    <xf numFmtId="177" fontId="19" fillId="0" borderId="46" xfId="0" applyNumberFormat="1" applyFont="1" applyFill="1" applyBorder="1">
      <alignment vertical="center"/>
    </xf>
    <xf numFmtId="177" fontId="19" fillId="0" borderId="14" xfId="0" applyNumberFormat="1" applyFont="1" applyFill="1" applyBorder="1">
      <alignment vertical="center"/>
    </xf>
    <xf numFmtId="177" fontId="19" fillId="0" borderId="41" xfId="0" applyNumberFormat="1" applyFont="1" applyFill="1" applyBorder="1" applyAlignment="1">
      <alignment horizontal="right" vertical="center"/>
    </xf>
    <xf numFmtId="0" fontId="0" fillId="0" borderId="43" xfId="0" applyFill="1" applyBorder="1">
      <alignment vertical="center"/>
    </xf>
    <xf numFmtId="179" fontId="19" fillId="0" borderId="0" xfId="0" applyNumberFormat="1" applyFont="1" applyFill="1" applyBorder="1">
      <alignment vertical="center"/>
    </xf>
    <xf numFmtId="179" fontId="19" fillId="0" borderId="42" xfId="0" applyNumberFormat="1" applyFont="1" applyFill="1" applyBorder="1" applyAlignment="1">
      <alignment horizontal="right" vertical="center"/>
    </xf>
    <xf numFmtId="0" fontId="0" fillId="0" borderId="0" xfId="0" applyFill="1" applyAlignment="1">
      <alignment horizontal="center" vertical="center"/>
    </xf>
    <xf numFmtId="38" fontId="19" fillId="0" borderId="25" xfId="0" applyNumberFormat="1" applyFont="1" applyFill="1" applyBorder="1">
      <alignment vertical="center"/>
    </xf>
    <xf numFmtId="38" fontId="19" fillId="0" borderId="20" xfId="0" applyNumberFormat="1" applyFont="1" applyFill="1" applyBorder="1">
      <alignment vertical="center"/>
    </xf>
    <xf numFmtId="38" fontId="19" fillId="0" borderId="90" xfId="0" applyNumberFormat="1" applyFont="1" applyFill="1" applyBorder="1">
      <alignment vertical="center"/>
    </xf>
    <xf numFmtId="38" fontId="19" fillId="0" borderId="16" xfId="0" applyNumberFormat="1" applyFont="1" applyFill="1" applyBorder="1">
      <alignment vertical="center"/>
    </xf>
    <xf numFmtId="1" fontId="19" fillId="0" borderId="42" xfId="0" applyNumberFormat="1" applyFont="1" applyFill="1" applyBorder="1" applyAlignment="1">
      <alignment horizontal="right" vertical="center"/>
    </xf>
    <xf numFmtId="38" fontId="19" fillId="5" borderId="36" xfId="1" applyFont="1" applyFill="1" applyBorder="1">
      <alignment vertical="center"/>
    </xf>
    <xf numFmtId="38" fontId="19" fillId="5" borderId="113" xfId="1" applyFont="1" applyFill="1" applyBorder="1" applyAlignment="1">
      <alignment horizontal="right" vertical="center"/>
    </xf>
    <xf numFmtId="0" fontId="19" fillId="5" borderId="29" xfId="0" applyNumberFormat="1" applyFont="1" applyFill="1" applyBorder="1">
      <alignment vertical="center"/>
    </xf>
    <xf numFmtId="38" fontId="19" fillId="5" borderId="40" xfId="1" applyFont="1" applyFill="1" applyBorder="1">
      <alignment vertical="center"/>
    </xf>
    <xf numFmtId="38" fontId="19" fillId="5" borderId="102" xfId="1" applyFont="1" applyFill="1" applyBorder="1">
      <alignment vertical="center"/>
    </xf>
    <xf numFmtId="2" fontId="19" fillId="5" borderId="25" xfId="0" applyNumberFormat="1" applyFont="1" applyFill="1" applyBorder="1">
      <alignment vertical="center"/>
    </xf>
    <xf numFmtId="2" fontId="19" fillId="5" borderId="20" xfId="0" applyNumberFormat="1" applyFont="1" applyFill="1" applyBorder="1">
      <alignment vertical="center"/>
    </xf>
    <xf numFmtId="2" fontId="19" fillId="5" borderId="90" xfId="0" applyNumberFormat="1" applyFont="1" applyFill="1" applyBorder="1">
      <alignment vertical="center"/>
    </xf>
    <xf numFmtId="2" fontId="19" fillId="5" borderId="16" xfId="0" applyNumberFormat="1" applyFont="1" applyFill="1" applyBorder="1">
      <alignment vertical="center"/>
    </xf>
    <xf numFmtId="2" fontId="19" fillId="5" borderId="42" xfId="0" applyNumberFormat="1" applyFont="1" applyFill="1" applyBorder="1" applyAlignment="1">
      <alignment horizontal="right" vertical="center"/>
    </xf>
    <xf numFmtId="2" fontId="19" fillId="5" borderId="41" xfId="0" applyNumberFormat="1" applyFont="1" applyFill="1" applyBorder="1" applyAlignment="1">
      <alignment horizontal="right" vertical="center"/>
    </xf>
    <xf numFmtId="0" fontId="19" fillId="5" borderId="19" xfId="0" applyFont="1" applyFill="1" applyBorder="1">
      <alignment vertical="center"/>
    </xf>
    <xf numFmtId="0" fontId="19" fillId="5" borderId="87" xfId="0" applyFont="1" applyFill="1" applyBorder="1">
      <alignment vertical="center"/>
    </xf>
    <xf numFmtId="2" fontId="19" fillId="5" borderId="40" xfId="0" applyNumberFormat="1" applyFont="1" applyFill="1" applyBorder="1" applyAlignment="1">
      <alignment horizontal="right" vertical="center"/>
    </xf>
    <xf numFmtId="0" fontId="19" fillId="5" borderId="60" xfId="0" applyFont="1" applyFill="1" applyBorder="1" applyAlignment="1">
      <alignment horizontal="right" vertical="center"/>
    </xf>
    <xf numFmtId="0" fontId="19" fillId="5" borderId="12" xfId="0" applyFont="1" applyFill="1" applyBorder="1" applyAlignment="1">
      <alignment horizontal="right" vertical="center"/>
    </xf>
    <xf numFmtId="0" fontId="0" fillId="0" borderId="6" xfId="0" applyBorder="1" applyAlignment="1">
      <alignment vertical="center"/>
    </xf>
    <xf numFmtId="0" fontId="0" fillId="0" borderId="6" xfId="0" applyBorder="1" applyAlignment="1">
      <alignment vertical="center" wrapText="1"/>
    </xf>
    <xf numFmtId="0" fontId="0" fillId="0" borderId="5" xfId="0" applyBorder="1" applyAlignment="1">
      <alignment vertical="center"/>
    </xf>
    <xf numFmtId="0" fontId="18" fillId="0" borderId="9" xfId="0" applyFont="1" applyBorder="1" applyAlignment="1">
      <alignment horizontal="center" vertical="center"/>
    </xf>
    <xf numFmtId="192" fontId="0" fillId="0" borderId="3" xfId="1" applyNumberFormat="1" applyFont="1" applyFill="1" applyBorder="1">
      <alignment vertical="center"/>
    </xf>
    <xf numFmtId="180" fontId="6" fillId="0" borderId="46" xfId="0" applyNumberFormat="1" applyFont="1" applyBorder="1" applyAlignment="1">
      <alignment horizontal="center" vertical="center" shrinkToFit="1"/>
    </xf>
    <xf numFmtId="181" fontId="21" fillId="0" borderId="87" xfId="0" applyNumberFormat="1" applyFont="1" applyBorder="1" applyAlignment="1">
      <alignment vertical="center" shrinkToFit="1"/>
    </xf>
    <xf numFmtId="181" fontId="21" fillId="0" borderId="0" xfId="0" applyNumberFormat="1" applyFont="1" applyAlignment="1">
      <alignment vertical="center" shrinkToFit="1"/>
    </xf>
    <xf numFmtId="177" fontId="21" fillId="0" borderId="0" xfId="0" applyNumberFormat="1" applyFont="1" applyBorder="1" applyAlignment="1">
      <alignment horizontal="center" vertical="center" shrinkToFit="1"/>
    </xf>
    <xf numFmtId="177" fontId="21" fillId="0" borderId="0" xfId="0" applyNumberFormat="1" applyFont="1" applyAlignment="1">
      <alignment vertical="center" shrinkToFit="1"/>
    </xf>
    <xf numFmtId="177" fontId="0" fillId="0" borderId="0" xfId="0" applyNumberFormat="1">
      <alignment vertical="center"/>
    </xf>
    <xf numFmtId="181" fontId="18" fillId="0" borderId="114" xfId="0" applyNumberFormat="1" applyFont="1" applyBorder="1" applyAlignment="1">
      <alignment vertical="center" shrinkToFit="1"/>
    </xf>
    <xf numFmtId="181" fontId="18" fillId="0" borderId="107" xfId="0" applyNumberFormat="1" applyFont="1" applyBorder="1" applyAlignment="1">
      <alignment vertical="center" shrinkToFit="1"/>
    </xf>
    <xf numFmtId="181" fontId="18" fillId="7" borderId="114" xfId="0" applyNumberFormat="1" applyFont="1" applyFill="1" applyBorder="1" applyAlignment="1">
      <alignment vertical="center" shrinkToFit="1"/>
    </xf>
    <xf numFmtId="181" fontId="18" fillId="7" borderId="55" xfId="0" applyNumberFormat="1" applyFont="1" applyFill="1" applyBorder="1" applyAlignment="1">
      <alignment vertical="center" shrinkToFit="1"/>
    </xf>
    <xf numFmtId="181" fontId="18" fillId="0" borderId="115" xfId="0" applyNumberFormat="1" applyFont="1" applyBorder="1" applyAlignment="1">
      <alignment vertical="center" shrinkToFit="1"/>
    </xf>
    <xf numFmtId="181" fontId="21" fillId="0" borderId="46" xfId="0" applyNumberFormat="1" applyFont="1" applyBorder="1" applyAlignment="1">
      <alignment vertical="center" shrinkToFit="1"/>
    </xf>
    <xf numFmtId="180" fontId="0" fillId="0" borderId="0" xfId="0" applyNumberFormat="1">
      <alignment vertical="center"/>
    </xf>
    <xf numFmtId="0" fontId="21" fillId="0" borderId="0" xfId="0" applyFont="1" applyFill="1" applyBorder="1" applyAlignment="1">
      <alignment vertical="center" wrapText="1"/>
    </xf>
    <xf numFmtId="0" fontId="18" fillId="0" borderId="0" xfId="0" applyFont="1" applyAlignment="1">
      <alignment wrapText="1"/>
    </xf>
    <xf numFmtId="0" fontId="18" fillId="0" borderId="1" xfId="0" applyFont="1" applyBorder="1" applyAlignment="1">
      <alignment wrapText="1"/>
    </xf>
    <xf numFmtId="38" fontId="19" fillId="5" borderId="30" xfId="1" applyFont="1" applyFill="1" applyBorder="1">
      <alignment vertical="center"/>
    </xf>
    <xf numFmtId="38" fontId="19" fillId="5" borderId="13" xfId="1" applyFont="1" applyFill="1" applyBorder="1">
      <alignment vertical="center"/>
    </xf>
    <xf numFmtId="38" fontId="19" fillId="5" borderId="41" xfId="1" applyFont="1" applyFill="1" applyBorder="1">
      <alignment vertical="center"/>
    </xf>
    <xf numFmtId="0" fontId="0" fillId="0" borderId="0" xfId="0" applyAlignment="1">
      <alignment vertical="center" shrinkToFit="1"/>
    </xf>
    <xf numFmtId="185" fontId="0" fillId="0" borderId="4" xfId="1" applyNumberFormat="1" applyFont="1" applyFill="1" applyBorder="1" applyAlignment="1">
      <alignment vertical="center" shrinkToFit="1"/>
    </xf>
    <xf numFmtId="188" fontId="0" fillId="0" borderId="111" xfId="1" applyNumberFormat="1" applyFont="1" applyFill="1" applyBorder="1" applyAlignment="1">
      <alignment vertical="center" shrinkToFit="1"/>
    </xf>
    <xf numFmtId="185" fontId="0" fillId="0" borderId="47" xfId="1" applyNumberFormat="1" applyFont="1" applyFill="1" applyBorder="1" applyAlignment="1">
      <alignment vertical="center" shrinkToFit="1"/>
    </xf>
    <xf numFmtId="186" fontId="0" fillId="0" borderId="111" xfId="0" applyNumberFormat="1" applyFill="1" applyBorder="1" applyAlignment="1">
      <alignment vertical="center" shrinkToFit="1"/>
    </xf>
    <xf numFmtId="187" fontId="0" fillId="0" borderId="3" xfId="0" applyNumberFormat="1" applyFill="1" applyBorder="1" applyAlignment="1">
      <alignment vertical="center" shrinkToFit="1"/>
    </xf>
    <xf numFmtId="0" fontId="4" fillId="0" borderId="3" xfId="0" applyFont="1" applyFill="1" applyBorder="1" applyAlignment="1">
      <alignment vertical="center" shrinkToFit="1"/>
    </xf>
    <xf numFmtId="38" fontId="0" fillId="0" borderId="3" xfId="1" applyFont="1" applyFill="1" applyBorder="1" applyAlignment="1">
      <alignment vertical="center" shrinkToFit="1"/>
    </xf>
    <xf numFmtId="178" fontId="0" fillId="0" borderId="4" xfId="4" applyNumberFormat="1" applyFont="1" applyFill="1" applyBorder="1" applyAlignment="1">
      <alignment vertical="center" shrinkToFit="1"/>
    </xf>
    <xf numFmtId="0" fontId="0" fillId="0" borderId="3" xfId="0" applyBorder="1" applyAlignment="1">
      <alignment horizontal="center" vertical="center" shrinkToFit="1"/>
    </xf>
    <xf numFmtId="185" fontId="0" fillId="0" borderId="3" xfId="0" applyNumberFormat="1" applyFill="1" applyBorder="1" applyAlignment="1">
      <alignment vertical="center" shrinkToFit="1"/>
    </xf>
    <xf numFmtId="178" fontId="0" fillId="0" borderId="3" xfId="4" applyNumberFormat="1" applyFont="1" applyFill="1" applyBorder="1" applyAlignment="1">
      <alignment vertical="center" shrinkToFit="1"/>
    </xf>
    <xf numFmtId="0" fontId="0" fillId="0" borderId="3" xfId="0" applyFont="1" applyFill="1" applyBorder="1" applyAlignment="1">
      <alignment vertical="center" wrapText="1"/>
    </xf>
    <xf numFmtId="0" fontId="20" fillId="0" borderId="3" xfId="0" applyFont="1" applyFill="1" applyBorder="1" applyAlignment="1">
      <alignment vertical="center" wrapText="1"/>
    </xf>
    <xf numFmtId="0" fontId="21" fillId="0" borderId="3" xfId="0" applyFont="1" applyFill="1" applyBorder="1" applyAlignment="1">
      <alignment vertical="center" wrapText="1"/>
    </xf>
    <xf numFmtId="38" fontId="6" fillId="0" borderId="3" xfId="1" applyFont="1" applyFill="1" applyBorder="1">
      <alignment vertical="center"/>
    </xf>
    <xf numFmtId="38" fontId="21" fillId="0" borderId="3" xfId="1" applyFont="1" applyFill="1" applyBorder="1">
      <alignment vertical="center"/>
    </xf>
    <xf numFmtId="0" fontId="35" fillId="0" borderId="3" xfId="0" applyFont="1" applyFill="1" applyBorder="1" applyAlignment="1">
      <alignment vertical="center" wrapText="1"/>
    </xf>
    <xf numFmtId="38" fontId="35" fillId="0" borderId="3" xfId="1" applyFont="1" applyFill="1" applyBorder="1" applyAlignment="1">
      <alignment vertical="center" wrapText="1"/>
    </xf>
    <xf numFmtId="0" fontId="0" fillId="0" borderId="3" xfId="0" applyFont="1" applyFill="1" applyBorder="1">
      <alignment vertical="center"/>
    </xf>
    <xf numFmtId="0" fontId="20" fillId="0" borderId="3" xfId="0" applyFont="1" applyFill="1" applyBorder="1">
      <alignment vertical="center"/>
    </xf>
    <xf numFmtId="0" fontId="0" fillId="0" borderId="3" xfId="0"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181" fontId="18" fillId="6" borderId="116" xfId="1" applyNumberFormat="1" applyFont="1" applyFill="1" applyBorder="1" applyAlignment="1">
      <alignment horizontal="right" vertical="center" shrinkToFit="1"/>
    </xf>
    <xf numFmtId="38" fontId="19" fillId="5" borderId="0" xfId="1" applyFont="1" applyFill="1" applyBorder="1">
      <alignment vertical="center"/>
    </xf>
    <xf numFmtId="2" fontId="19" fillId="5" borderId="117" xfId="0" applyNumberFormat="1" applyFont="1" applyFill="1" applyBorder="1">
      <alignment vertical="center"/>
    </xf>
    <xf numFmtId="38" fontId="19" fillId="0" borderId="4" xfId="1" applyFont="1" applyFill="1" applyBorder="1">
      <alignment vertical="center"/>
    </xf>
    <xf numFmtId="38" fontId="19" fillId="5" borderId="4" xfId="1" applyFont="1" applyFill="1" applyBorder="1">
      <alignment vertical="center"/>
    </xf>
    <xf numFmtId="38" fontId="19" fillId="5" borderId="52" xfId="1" applyFont="1" applyFill="1" applyBorder="1">
      <alignment vertical="center"/>
    </xf>
    <xf numFmtId="0" fontId="19" fillId="0" borderId="118" xfId="0" applyFont="1" applyFill="1" applyBorder="1">
      <alignment vertical="center"/>
    </xf>
    <xf numFmtId="38" fontId="19" fillId="5" borderId="81" xfId="1" applyFont="1" applyFill="1" applyBorder="1">
      <alignment vertical="center"/>
    </xf>
    <xf numFmtId="2" fontId="19" fillId="0" borderId="79" xfId="0" applyNumberFormat="1" applyFont="1" applyFill="1" applyBorder="1">
      <alignment vertical="center"/>
    </xf>
    <xf numFmtId="38" fontId="19" fillId="0" borderId="118" xfId="1" applyFont="1" applyFill="1" applyBorder="1">
      <alignment vertical="center"/>
    </xf>
    <xf numFmtId="38" fontId="19" fillId="0" borderId="117" xfId="1" applyFont="1" applyFill="1" applyBorder="1">
      <alignment vertical="center"/>
    </xf>
    <xf numFmtId="177" fontId="19" fillId="0" borderId="119" xfId="0" applyNumberFormat="1" applyFont="1" applyFill="1" applyBorder="1">
      <alignment vertical="center"/>
    </xf>
    <xf numFmtId="38" fontId="19" fillId="5" borderId="117" xfId="1" applyFont="1" applyFill="1" applyBorder="1">
      <alignment vertical="center"/>
    </xf>
    <xf numFmtId="38" fontId="19" fillId="0" borderId="119" xfId="1" applyFont="1" applyFill="1" applyBorder="1">
      <alignment vertical="center"/>
    </xf>
    <xf numFmtId="38" fontId="19" fillId="5" borderId="79" xfId="1" applyFont="1" applyFill="1" applyBorder="1">
      <alignment vertical="center"/>
    </xf>
    <xf numFmtId="177" fontId="19" fillId="0" borderId="4" xfId="0" applyNumberFormat="1" applyFont="1" applyFill="1" applyBorder="1">
      <alignment vertical="center"/>
    </xf>
    <xf numFmtId="2" fontId="19" fillId="5" borderId="119" xfId="0" applyNumberFormat="1" applyFont="1" applyFill="1" applyBorder="1">
      <alignment vertical="center"/>
    </xf>
    <xf numFmtId="38" fontId="19" fillId="0" borderId="79" xfId="1" applyFont="1" applyFill="1" applyBorder="1">
      <alignment vertical="center"/>
    </xf>
    <xf numFmtId="2" fontId="19" fillId="5" borderId="4" xfId="0" applyNumberFormat="1" applyFont="1" applyFill="1" applyBorder="1">
      <alignment vertical="center"/>
    </xf>
    <xf numFmtId="0" fontId="19" fillId="5" borderId="117" xfId="0" applyFont="1" applyFill="1" applyBorder="1">
      <alignment vertical="center"/>
    </xf>
    <xf numFmtId="38" fontId="19" fillId="0" borderId="119" xfId="0" applyNumberFormat="1" applyFont="1" applyFill="1" applyBorder="1">
      <alignment vertical="center"/>
    </xf>
    <xf numFmtId="2" fontId="19" fillId="0" borderId="25" xfId="0" applyNumberFormat="1" applyFont="1" applyFill="1" applyBorder="1">
      <alignment vertical="center"/>
    </xf>
    <xf numFmtId="2" fontId="19" fillId="0" borderId="20" xfId="0" applyNumberFormat="1" applyFont="1" applyFill="1" applyBorder="1">
      <alignment vertical="center"/>
    </xf>
    <xf numFmtId="2" fontId="19" fillId="0" borderId="90" xfId="0" applyNumberFormat="1" applyFont="1" applyFill="1" applyBorder="1">
      <alignment vertical="center"/>
    </xf>
    <xf numFmtId="2" fontId="19" fillId="0" borderId="119" xfId="0" applyNumberFormat="1" applyFont="1" applyFill="1" applyBorder="1">
      <alignment vertical="center"/>
    </xf>
    <xf numFmtId="2" fontId="19" fillId="0" borderId="16" xfId="0" applyNumberFormat="1" applyFont="1" applyFill="1" applyBorder="1">
      <alignment vertical="center"/>
    </xf>
    <xf numFmtId="0" fontId="19" fillId="0" borderId="116" xfId="0" applyFont="1" applyBorder="1" applyAlignment="1">
      <alignment horizontal="center" vertical="center"/>
    </xf>
    <xf numFmtId="4" fontId="36" fillId="0" borderId="28" xfId="0" applyNumberFormat="1" applyFont="1" applyFill="1" applyBorder="1" applyAlignment="1">
      <alignment horizontal="center" vertical="center" shrinkToFit="1"/>
    </xf>
    <xf numFmtId="0" fontId="15" fillId="0" borderId="28" xfId="0" applyFont="1" applyFill="1" applyBorder="1" applyAlignment="1">
      <alignment horizontal="justify" vertical="center" wrapText="1"/>
    </xf>
    <xf numFmtId="40" fontId="14" fillId="9" borderId="35" xfId="3"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vertical="center"/>
    </xf>
    <xf numFmtId="0" fontId="10" fillId="0" borderId="0" xfId="0" applyFont="1" applyFill="1" applyBorder="1" applyAlignment="1">
      <alignment vertical="center"/>
    </xf>
    <xf numFmtId="0" fontId="20" fillId="0" borderId="8" xfId="0" applyFont="1" applyBorder="1" applyAlignment="1">
      <alignment horizontal="center" vertical="center" wrapText="1"/>
    </xf>
    <xf numFmtId="0" fontId="0" fillId="0" borderId="3" xfId="0"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7" fillId="0" borderId="6" xfId="0" quotePrefix="1" applyFont="1" applyBorder="1" applyAlignment="1">
      <alignment vertical="center" wrapText="1"/>
    </xf>
    <xf numFmtId="185" fontId="0" fillId="0" borderId="3" xfId="1" applyNumberFormat="1" applyFont="1" applyFill="1" applyBorder="1" applyAlignment="1">
      <alignment horizontal="right" vertical="center"/>
    </xf>
    <xf numFmtId="185" fontId="8" fillId="0" borderId="3" xfId="1" applyNumberFormat="1" applyFont="1" applyFill="1" applyBorder="1">
      <alignment vertical="center"/>
    </xf>
    <xf numFmtId="38" fontId="1" fillId="0" borderId="3" xfId="1" applyFont="1" applyFill="1" applyBorder="1">
      <alignment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0" fillId="0" borderId="3" xfId="0"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19" fillId="0" borderId="29" xfId="0" applyFont="1" applyBorder="1" applyAlignment="1">
      <alignment horizontal="center" vertical="center"/>
    </xf>
    <xf numFmtId="0" fontId="19" fillId="0" borderId="89" xfId="0" applyFont="1" applyFill="1" applyBorder="1">
      <alignment vertical="center"/>
    </xf>
    <xf numFmtId="0" fontId="0" fillId="0" borderId="89" xfId="0" applyFill="1" applyBorder="1">
      <alignment vertical="center"/>
    </xf>
    <xf numFmtId="0" fontId="0" fillId="0" borderId="23" xfId="0" applyFill="1" applyBorder="1">
      <alignment vertical="center"/>
    </xf>
    <xf numFmtId="0" fontId="0" fillId="0" borderId="89" xfId="0" applyBorder="1">
      <alignment vertical="center"/>
    </xf>
    <xf numFmtId="0" fontId="19" fillId="0" borderId="10" xfId="0" applyFont="1" applyBorder="1" applyAlignment="1">
      <alignment horizontal="center" vertical="center"/>
    </xf>
    <xf numFmtId="2" fontId="19" fillId="5" borderId="38" xfId="0" applyNumberFormat="1" applyFont="1" applyFill="1" applyBorder="1">
      <alignment vertical="center"/>
    </xf>
    <xf numFmtId="38" fontId="19" fillId="0" borderId="28" xfId="1" applyFont="1" applyFill="1" applyBorder="1">
      <alignment vertical="center"/>
    </xf>
    <xf numFmtId="38" fontId="19" fillId="5" borderId="28" xfId="1" applyFont="1" applyFill="1" applyBorder="1">
      <alignment vertical="center"/>
    </xf>
    <xf numFmtId="38" fontId="19" fillId="5" borderId="2" xfId="1" applyFont="1" applyFill="1" applyBorder="1">
      <alignment vertical="center"/>
    </xf>
    <xf numFmtId="2" fontId="19" fillId="0" borderId="38" xfId="0" applyNumberFormat="1" applyFont="1" applyFill="1" applyBorder="1">
      <alignment vertical="center"/>
    </xf>
    <xf numFmtId="38" fontId="19" fillId="0" borderId="112" xfId="1" applyFont="1" applyFill="1" applyBorder="1">
      <alignment vertical="center"/>
    </xf>
    <xf numFmtId="38" fontId="19" fillId="0" borderId="38" xfId="1" applyFont="1" applyFill="1" applyBorder="1">
      <alignment vertical="center"/>
    </xf>
    <xf numFmtId="177" fontId="19" fillId="0" borderId="45" xfId="0" applyNumberFormat="1" applyFont="1" applyFill="1" applyBorder="1">
      <alignment vertical="center"/>
    </xf>
    <xf numFmtId="38" fontId="19" fillId="5" borderId="6" xfId="1" applyFont="1" applyFill="1" applyBorder="1">
      <alignment vertical="center"/>
    </xf>
    <xf numFmtId="38" fontId="19" fillId="5" borderId="38" xfId="1" applyFont="1" applyFill="1" applyBorder="1">
      <alignment vertical="center"/>
    </xf>
    <xf numFmtId="38" fontId="19" fillId="0" borderId="35" xfId="1" applyFont="1" applyFill="1" applyBorder="1">
      <alignment vertical="center"/>
    </xf>
    <xf numFmtId="38" fontId="19" fillId="0" borderId="35" xfId="0" applyNumberFormat="1" applyFont="1" applyFill="1" applyBorder="1">
      <alignment vertical="center"/>
    </xf>
    <xf numFmtId="38" fontId="19" fillId="0" borderId="28" xfId="0" applyNumberFormat="1" applyFont="1" applyFill="1" applyBorder="1">
      <alignment vertical="center"/>
    </xf>
    <xf numFmtId="38" fontId="19" fillId="0" borderId="31" xfId="1" applyFont="1" applyFill="1" applyBorder="1">
      <alignment vertical="center"/>
    </xf>
    <xf numFmtId="193" fontId="6" fillId="0" borderId="46" xfId="0" applyNumberFormat="1" applyFont="1" applyBorder="1" applyAlignment="1">
      <alignment horizontal="center" vertical="center" shrinkToFit="1"/>
    </xf>
    <xf numFmtId="0" fontId="20" fillId="0" borderId="53" xfId="0" applyFont="1" applyBorder="1" applyAlignment="1">
      <alignment horizontal="center" vertical="center" wrapText="1"/>
    </xf>
    <xf numFmtId="0" fontId="0" fillId="0" borderId="3" xfId="0" applyFill="1" applyBorder="1" applyAlignment="1">
      <alignment horizontal="center" vertical="center"/>
    </xf>
    <xf numFmtId="0" fontId="13" fillId="0" borderId="10" xfId="0" applyFont="1" applyBorder="1" applyAlignment="1">
      <alignment horizontal="center" vertical="center" shrinkToFit="1"/>
    </xf>
    <xf numFmtId="0" fontId="15" fillId="0" borderId="28" xfId="0" applyFont="1" applyBorder="1" applyAlignment="1">
      <alignment horizontal="justify" vertical="center" wrapText="1"/>
    </xf>
    <xf numFmtId="0" fontId="14" fillId="0" borderId="28" xfId="0" applyFont="1" applyBorder="1" applyAlignment="1">
      <alignment horizontal="center" vertical="center" wrapText="1"/>
    </xf>
    <xf numFmtId="0" fontId="15" fillId="0" borderId="31" xfId="0" applyFont="1" applyBorder="1" applyAlignment="1">
      <alignment horizontal="justify" vertical="center" wrapText="1"/>
    </xf>
    <xf numFmtId="3" fontId="14" fillId="3" borderId="35" xfId="0" applyNumberFormat="1" applyFont="1" applyFill="1" applyBorder="1" applyAlignment="1">
      <alignment horizontal="center" vertical="center" wrapText="1"/>
    </xf>
    <xf numFmtId="4" fontId="14" fillId="2" borderId="24" xfId="0" applyNumberFormat="1" applyFont="1" applyFill="1" applyBorder="1" applyAlignment="1">
      <alignment horizontal="center" vertical="center" wrapText="1"/>
    </xf>
    <xf numFmtId="0" fontId="15" fillId="0" borderId="120" xfId="0" applyFont="1" applyFill="1" applyBorder="1" applyAlignment="1">
      <alignment horizontal="justify" vertical="center" wrapText="1"/>
    </xf>
    <xf numFmtId="0" fontId="17" fillId="0" borderId="121" xfId="0" applyFont="1" applyFill="1" applyBorder="1" applyAlignment="1">
      <alignment horizontal="center" vertical="center" wrapText="1"/>
    </xf>
    <xf numFmtId="0" fontId="17" fillId="0" borderId="28" xfId="0" applyFont="1" applyFill="1" applyBorder="1" applyAlignment="1">
      <alignment horizontal="center" vertical="center" wrapText="1"/>
    </xf>
    <xf numFmtId="40" fontId="37" fillId="2" borderId="35" xfId="3" applyNumberFormat="1" applyFont="1" applyFill="1" applyBorder="1" applyAlignment="1">
      <alignment horizontal="center" vertical="center" wrapText="1"/>
    </xf>
    <xf numFmtId="40" fontId="17" fillId="2" borderId="122" xfId="3" applyNumberFormat="1" applyFont="1" applyFill="1" applyBorder="1" applyAlignment="1">
      <alignment horizontal="center" vertical="center" wrapText="1"/>
    </xf>
    <xf numFmtId="0" fontId="28"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Fill="1" applyBorder="1" applyAlignment="1">
      <alignment horizontal="center" vertical="center"/>
    </xf>
    <xf numFmtId="0" fontId="0" fillId="0" borderId="0" xfId="0" applyFill="1" applyAlignment="1">
      <alignment vertical="center" wrapText="1"/>
    </xf>
    <xf numFmtId="0" fontId="0" fillId="0" borderId="0" xfId="0" applyFill="1" applyAlignment="1">
      <alignment horizontal="right" vertical="center"/>
    </xf>
    <xf numFmtId="2" fontId="0" fillId="0" borderId="0" xfId="0" applyNumberFormat="1" applyFill="1">
      <alignment vertical="center"/>
    </xf>
    <xf numFmtId="38" fontId="19" fillId="0" borderId="12" xfId="0" applyNumberFormat="1" applyFont="1" applyFill="1" applyBorder="1">
      <alignment vertical="center"/>
    </xf>
    <xf numFmtId="0" fontId="20" fillId="0" borderId="3" xfId="0" applyFont="1" applyFill="1" applyBorder="1" applyAlignment="1">
      <alignment vertical="center" shrinkToFit="1"/>
    </xf>
    <xf numFmtId="0" fontId="4" fillId="0" borderId="3" xfId="0" applyFont="1" applyFill="1" applyBorder="1" applyAlignment="1">
      <alignment horizontal="left" vertical="center" wrapText="1"/>
    </xf>
    <xf numFmtId="0" fontId="0" fillId="0" borderId="3" xfId="0" applyFill="1" applyBorder="1" applyAlignment="1">
      <alignment vertical="center" wrapText="1"/>
    </xf>
    <xf numFmtId="0" fontId="18" fillId="0" borderId="0" xfId="0" applyFont="1" applyFill="1" applyAlignment="1">
      <alignment horizontal="right" vertical="center"/>
    </xf>
    <xf numFmtId="0" fontId="19" fillId="0" borderId="5" xfId="0" applyFont="1" applyFill="1" applyBorder="1" applyAlignment="1">
      <alignment horizontal="center" vertical="center"/>
    </xf>
    <xf numFmtId="0" fontId="19" fillId="0" borderId="49" xfId="0" applyFont="1" applyFill="1" applyBorder="1" applyAlignment="1">
      <alignment horizontal="center" vertical="center" wrapText="1"/>
    </xf>
    <xf numFmtId="0" fontId="28" fillId="0" borderId="3" xfId="0" applyFont="1" applyFill="1" applyBorder="1" applyAlignment="1">
      <alignment horizontal="right" vertical="center"/>
    </xf>
    <xf numFmtId="0" fontId="19" fillId="0" borderId="2" xfId="0" applyFont="1" applyFill="1" applyBorder="1" applyAlignment="1">
      <alignment horizontal="center" vertical="center" wrapText="1"/>
    </xf>
    <xf numFmtId="0" fontId="19" fillId="0" borderId="47" xfId="0" applyFont="1" applyFill="1" applyBorder="1">
      <alignment vertical="center"/>
    </xf>
    <xf numFmtId="0" fontId="19" fillId="0" borderId="4" xfId="0" applyFont="1" applyFill="1" applyBorder="1">
      <alignment vertical="center"/>
    </xf>
    <xf numFmtId="0" fontId="19" fillId="0" borderId="46" xfId="0" applyFont="1" applyFill="1" applyBorder="1">
      <alignment vertical="center"/>
    </xf>
    <xf numFmtId="0" fontId="31" fillId="0" borderId="0" xfId="0" applyFont="1" applyFill="1">
      <alignment vertical="center"/>
    </xf>
    <xf numFmtId="0" fontId="30" fillId="0" borderId="0" xfId="0" applyFont="1" applyFill="1">
      <alignment vertical="center"/>
    </xf>
    <xf numFmtId="0" fontId="30" fillId="0" borderId="0" xfId="0" applyFont="1" applyFill="1" applyAlignment="1">
      <alignment horizontal="center" vertical="center"/>
    </xf>
    <xf numFmtId="0" fontId="19" fillId="0" borderId="0" xfId="0" applyFont="1" applyFill="1">
      <alignment vertical="center"/>
    </xf>
    <xf numFmtId="0" fontId="20" fillId="0" borderId="8" xfId="0" applyFont="1" applyFill="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7" borderId="9" xfId="0" applyFill="1" applyBorder="1" applyAlignment="1">
      <alignment horizontal="center" vertical="center" shrinkToFit="1"/>
    </xf>
    <xf numFmtId="0" fontId="0" fillId="7" borderId="23" xfId="0" applyFill="1" applyBorder="1" applyAlignment="1">
      <alignment horizontal="center" vertical="center" shrinkToFit="1"/>
    </xf>
    <xf numFmtId="0" fontId="0" fillId="7" borderId="10" xfId="0" applyFill="1" applyBorder="1" applyAlignment="1">
      <alignment horizontal="center" vertical="center" shrinkToFit="1"/>
    </xf>
    <xf numFmtId="0" fontId="19" fillId="0" borderId="52" xfId="0" applyFont="1" applyBorder="1" applyAlignment="1">
      <alignment horizontal="center" vertical="center"/>
    </xf>
    <xf numFmtId="0" fontId="19" fillId="0" borderId="49" xfId="0" applyFont="1" applyBorder="1" applyAlignment="1">
      <alignment horizontal="right" vertical="center"/>
    </xf>
    <xf numFmtId="0" fontId="19" fillId="0" borderId="1" xfId="0" applyFont="1" applyBorder="1" applyAlignment="1">
      <alignment horizontal="right" vertical="center"/>
    </xf>
    <xf numFmtId="0" fontId="18" fillId="0" borderId="8"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0" fontId="19" fillId="0" borderId="54" xfId="0" applyFont="1" applyBorder="1" applyAlignment="1">
      <alignment horizontal="center" vertical="center"/>
    </xf>
    <xf numFmtId="0" fontId="21" fillId="4" borderId="36" xfId="0" applyFont="1" applyFill="1" applyBorder="1" applyAlignment="1">
      <alignment horizontal="center" vertical="center" textRotation="255" shrinkToFit="1"/>
    </xf>
    <xf numFmtId="0" fontId="21" fillId="4" borderId="39" xfId="0" applyFont="1" applyFill="1" applyBorder="1" applyAlignment="1">
      <alignment horizontal="center" vertical="center" textRotation="255" shrinkToFi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5" xfId="0" applyFont="1" applyBorder="1" applyAlignment="1">
      <alignment horizontal="center" vertical="center"/>
    </xf>
    <xf numFmtId="0" fontId="19" fillId="4" borderId="37" xfId="0" applyFont="1" applyFill="1" applyBorder="1" applyAlignment="1">
      <alignment horizontal="left" vertical="center"/>
    </xf>
    <xf numFmtId="0" fontId="19" fillId="4" borderId="82" xfId="0" applyFont="1" applyFill="1" applyBorder="1" applyAlignment="1">
      <alignment horizontal="left" vertical="center"/>
    </xf>
    <xf numFmtId="0" fontId="0" fillId="8" borderId="98" xfId="0" applyFill="1" applyBorder="1" applyAlignment="1">
      <alignment horizontal="center" vertical="center"/>
    </xf>
    <xf numFmtId="0" fontId="0" fillId="8" borderId="99" xfId="0" applyFill="1" applyBorder="1" applyAlignment="1">
      <alignment horizontal="center" vertical="center"/>
    </xf>
    <xf numFmtId="0" fontId="0" fillId="8" borderId="100" xfId="0" applyFill="1" applyBorder="1" applyAlignment="1">
      <alignment horizontal="center" vertical="center"/>
    </xf>
    <xf numFmtId="0" fontId="0" fillId="4" borderId="9"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10" xfId="0" applyFill="1" applyBorder="1" applyAlignment="1">
      <alignment horizontal="center" vertical="center" shrinkToFit="1"/>
    </xf>
    <xf numFmtId="0" fontId="19" fillId="6" borderId="9" xfId="0" applyFont="1" applyFill="1" applyBorder="1" applyAlignment="1">
      <alignment horizontal="right" vertical="center"/>
    </xf>
    <xf numFmtId="0" fontId="19" fillId="6" borderId="23" xfId="0" applyFont="1" applyFill="1" applyBorder="1" applyAlignment="1">
      <alignment horizontal="right" vertical="center"/>
    </xf>
    <xf numFmtId="0" fontId="26" fillId="7" borderId="9" xfId="0" applyFont="1" applyFill="1" applyBorder="1" applyAlignment="1">
      <alignment horizontal="center" vertical="center" shrinkToFit="1"/>
    </xf>
    <xf numFmtId="0" fontId="26" fillId="7" borderId="23"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18" fillId="0" borderId="0" xfId="0" applyFont="1" applyAlignment="1">
      <alignment horizontal="center" wrapText="1"/>
    </xf>
    <xf numFmtId="0" fontId="18" fillId="0" borderId="1" xfId="0" applyFont="1" applyBorder="1" applyAlignment="1">
      <alignment horizontal="center" wrapText="1"/>
    </xf>
    <xf numFmtId="0" fontId="26" fillId="4" borderId="9" xfId="0" applyFont="1" applyFill="1" applyBorder="1" applyAlignment="1">
      <alignment horizontal="center" vertical="center" shrinkToFit="1"/>
    </xf>
    <xf numFmtId="0" fontId="26" fillId="4" borderId="23" xfId="0" applyFont="1" applyFill="1" applyBorder="1" applyAlignment="1">
      <alignment horizontal="center" vertical="center" shrinkToFit="1"/>
    </xf>
    <xf numFmtId="0" fontId="26" fillId="4" borderId="10" xfId="0" applyFont="1" applyFill="1" applyBorder="1" applyAlignment="1">
      <alignment horizontal="center" vertical="center" shrinkToFit="1"/>
    </xf>
    <xf numFmtId="0" fontId="34" fillId="8" borderId="98" xfId="0" applyFont="1" applyFill="1" applyBorder="1" applyAlignment="1">
      <alignment horizontal="center" vertical="center"/>
    </xf>
    <xf numFmtId="0" fontId="29" fillId="8" borderId="99" xfId="0" applyFont="1" applyFill="1" applyBorder="1" applyAlignment="1">
      <alignment horizontal="center" vertical="center"/>
    </xf>
    <xf numFmtId="0" fontId="29" fillId="8" borderId="100" xfId="0" applyFont="1" applyFill="1" applyBorder="1" applyAlignment="1">
      <alignment horizontal="center" vertical="center"/>
    </xf>
    <xf numFmtId="0" fontId="32" fillId="0" borderId="0" xfId="0" applyFont="1" applyAlignment="1">
      <alignment horizontal="left" vertical="center"/>
    </xf>
    <xf numFmtId="0" fontId="19" fillId="0" borderId="4"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47" xfId="0" applyFont="1" applyBorder="1" applyAlignment="1">
      <alignment horizontal="center" vertical="center" wrapText="1"/>
    </xf>
    <xf numFmtId="0" fontId="18"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horizontal="center" vertical="center"/>
    </xf>
    <xf numFmtId="0" fontId="18" fillId="5" borderId="11" xfId="0" applyFont="1" applyFill="1" applyBorder="1" applyAlignment="1">
      <alignment horizontal="center" vertical="center"/>
    </xf>
    <xf numFmtId="0" fontId="19" fillId="5" borderId="12" xfId="0" applyFont="1" applyFill="1" applyBorder="1" applyAlignment="1">
      <alignment horizontal="center" vertical="center"/>
    </xf>
    <xf numFmtId="0" fontId="18" fillId="0" borderId="9" xfId="0" applyFont="1" applyBorder="1" applyAlignment="1">
      <alignment horizontal="center" vertical="center"/>
    </xf>
    <xf numFmtId="0" fontId="18" fillId="0" borderId="23"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9" fillId="0" borderId="22"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1" xfId="0" applyFont="1" applyBorder="1" applyAlignment="1">
      <alignment horizontal="center" vertical="center" textRotation="255" shrinkToFit="1"/>
    </xf>
    <xf numFmtId="0" fontId="19" fillId="0" borderId="25" xfId="0" applyFont="1" applyFill="1" applyBorder="1" applyAlignment="1">
      <alignment horizontal="center" vertical="center"/>
    </xf>
    <xf numFmtId="0" fontId="19" fillId="0" borderId="45"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101" xfId="0" applyFont="1" applyFill="1" applyBorder="1" applyAlignment="1">
      <alignment horizontal="center" vertical="center"/>
    </xf>
    <xf numFmtId="0" fontId="18" fillId="5" borderId="59" xfId="0" applyFont="1" applyFill="1" applyBorder="1" applyAlignment="1">
      <alignment horizontal="center" vertical="center"/>
    </xf>
    <xf numFmtId="0" fontId="18" fillId="5" borderId="112" xfId="0" applyFont="1" applyFill="1"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8"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18" fillId="0" borderId="22" xfId="0" applyFont="1" applyFill="1" applyBorder="1" applyAlignment="1">
      <alignment horizontal="center" vertical="center"/>
    </xf>
    <xf numFmtId="0" fontId="19" fillId="0" borderId="44"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8" fillId="5" borderId="22" xfId="0" applyFont="1" applyFill="1" applyBorder="1" applyAlignment="1">
      <alignment horizontal="center" vertical="center"/>
    </xf>
    <xf numFmtId="0" fontId="19" fillId="5" borderId="4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0" fillId="0" borderId="3" xfId="2" applyBorder="1" applyAlignment="1">
      <alignment horizontal="center" vertical="center"/>
    </xf>
    <xf numFmtId="0" fontId="14" fillId="2" borderId="37" xfId="2" applyFont="1" applyFill="1" applyBorder="1" applyAlignment="1">
      <alignment horizontal="justify" vertical="center" wrapText="1"/>
    </xf>
    <xf numFmtId="0" fontId="14" fillId="2" borderId="38" xfId="2" applyFont="1" applyFill="1" applyBorder="1" applyAlignment="1">
      <alignment horizontal="justify" vertical="center" wrapText="1"/>
    </xf>
    <xf numFmtId="0" fontId="14" fillId="2" borderId="36" xfId="2" applyFont="1" applyFill="1" applyBorder="1" applyAlignment="1">
      <alignment horizontal="justify" vertical="center" wrapText="1"/>
    </xf>
    <xf numFmtId="0" fontId="14" fillId="2" borderId="28" xfId="2" applyFont="1" applyFill="1" applyBorder="1" applyAlignment="1">
      <alignment horizontal="justify" vertical="center" wrapText="1"/>
    </xf>
    <xf numFmtId="0" fontId="14" fillId="2" borderId="39" xfId="2" applyFont="1" applyFill="1" applyBorder="1" applyAlignment="1">
      <alignment horizontal="justify" vertical="center" wrapText="1"/>
    </xf>
    <xf numFmtId="0" fontId="14" fillId="2" borderId="35" xfId="2" applyFont="1" applyFill="1" applyBorder="1" applyAlignment="1">
      <alignment horizontal="justify" vertical="center" wrapText="1"/>
    </xf>
    <xf numFmtId="0" fontId="10" fillId="0" borderId="26" xfId="2" applyBorder="1" applyAlignment="1">
      <alignment horizontal="left" vertical="center"/>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3" fillId="2" borderId="27" xfId="2" applyFont="1" applyFill="1" applyBorder="1" applyAlignment="1">
      <alignment horizontal="center" vertical="center" wrapText="1"/>
    </xf>
    <xf numFmtId="0" fontId="13" fillId="2" borderId="29" xfId="2" applyFont="1" applyFill="1" applyBorder="1" applyAlignment="1">
      <alignment horizontal="center" vertical="center" wrapText="1"/>
    </xf>
    <xf numFmtId="0" fontId="14" fillId="0" borderId="27" xfId="2" applyFont="1" applyBorder="1" applyAlignment="1">
      <alignment horizontal="justify" vertical="center" wrapText="1"/>
    </xf>
    <xf numFmtId="0" fontId="14" fillId="0" borderId="29" xfId="2" applyFont="1" applyBorder="1" applyAlignment="1">
      <alignment horizontal="justify" vertical="center" wrapText="1"/>
    </xf>
    <xf numFmtId="0" fontId="15" fillId="0" borderId="30" xfId="2" applyFont="1" applyBorder="1" applyAlignment="1">
      <alignment horizontal="justify" vertical="center" wrapText="1"/>
    </xf>
    <xf numFmtId="0" fontId="14" fillId="0" borderId="34" xfId="2" applyFont="1" applyBorder="1" applyAlignment="1">
      <alignment horizontal="justify" vertical="center" wrapText="1"/>
    </xf>
    <xf numFmtId="0" fontId="14" fillId="2" borderId="37" xfId="2" applyFont="1" applyFill="1" applyBorder="1" applyAlignment="1">
      <alignment horizontal="center" vertical="center" wrapText="1"/>
    </xf>
    <xf numFmtId="0" fontId="14" fillId="2" borderId="38" xfId="2" applyFont="1" applyFill="1" applyBorder="1" applyAlignment="1">
      <alignment horizontal="center" vertical="center" wrapText="1"/>
    </xf>
    <xf numFmtId="0" fontId="14" fillId="2" borderId="36" xfId="2"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35" xfId="2" applyFont="1" applyFill="1" applyBorder="1" applyAlignment="1">
      <alignment horizontal="center" vertical="center" wrapText="1"/>
    </xf>
  </cellXfs>
  <cellStyles count="6">
    <cellStyle name="パーセント" xfId="4" builtinId="5"/>
    <cellStyle name="桁区切り" xfId="1" builtinId="6"/>
    <cellStyle name="桁区切り 2" xfId="3"/>
    <cellStyle name="標準" xfId="0" builtinId="0"/>
    <cellStyle name="標準 3" xfId="2"/>
    <cellStyle name="標準_年報様式ＴＳＴ" xf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17317</xdr:colOff>
      <xdr:row>1</xdr:row>
      <xdr:rowOff>1443</xdr:rowOff>
    </xdr:from>
    <xdr:to>
      <xdr:col>10</xdr:col>
      <xdr:colOff>1031874</xdr:colOff>
      <xdr:row>2</xdr:row>
      <xdr:rowOff>1443</xdr:rowOff>
    </xdr:to>
    <xdr:sp macro="" textlink="">
      <xdr:nvSpPr>
        <xdr:cNvPr id="2" name="テキスト ボックス 23"/>
        <xdr:cNvSpPr txBox="1"/>
      </xdr:nvSpPr>
      <xdr:spPr>
        <a:xfrm>
          <a:off x="699942" y="191943"/>
          <a:ext cx="8078932" cy="301625"/>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11</xdr:col>
      <xdr:colOff>17319</xdr:colOff>
      <xdr:row>5</xdr:row>
      <xdr:rowOff>277091</xdr:rowOff>
    </xdr:from>
    <xdr:to>
      <xdr:col>15</xdr:col>
      <xdr:colOff>138545</xdr:colOff>
      <xdr:row>7</xdr:row>
      <xdr:rowOff>34637</xdr:rowOff>
    </xdr:to>
    <xdr:sp macro="" textlink="">
      <xdr:nvSpPr>
        <xdr:cNvPr id="3" name="テキスト ボックス 2"/>
        <xdr:cNvSpPr txBox="1"/>
      </xdr:nvSpPr>
      <xdr:spPr>
        <a:xfrm>
          <a:off x="8763001" y="1887682"/>
          <a:ext cx="258040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10</xdr:col>
      <xdr:colOff>900547</xdr:colOff>
      <xdr:row>6</xdr:row>
      <xdr:rowOff>294409</xdr:rowOff>
    </xdr:from>
    <xdr:to>
      <xdr:col>15</xdr:col>
      <xdr:colOff>280555</xdr:colOff>
      <xdr:row>8</xdr:row>
      <xdr:rowOff>51954</xdr:rowOff>
    </xdr:to>
    <xdr:sp macro="" textlink="">
      <xdr:nvSpPr>
        <xdr:cNvPr id="4" name="テキスト ボックス 3"/>
        <xdr:cNvSpPr txBox="1"/>
      </xdr:nvSpPr>
      <xdr:spPr>
        <a:xfrm>
          <a:off x="8624456" y="2216727"/>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11</xdr:col>
      <xdr:colOff>17318</xdr:colOff>
      <xdr:row>12</xdr:row>
      <xdr:rowOff>0</xdr:rowOff>
    </xdr:from>
    <xdr:to>
      <xdr:col>15</xdr:col>
      <xdr:colOff>112512</xdr:colOff>
      <xdr:row>13</xdr:row>
      <xdr:rowOff>69271</xdr:rowOff>
    </xdr:to>
    <xdr:sp macro="" textlink="">
      <xdr:nvSpPr>
        <xdr:cNvPr id="5" name="テキスト ボックス 4"/>
        <xdr:cNvSpPr txBox="1"/>
      </xdr:nvSpPr>
      <xdr:spPr>
        <a:xfrm>
          <a:off x="8763000" y="3654136"/>
          <a:ext cx="255437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12</xdr:col>
      <xdr:colOff>17318</xdr:colOff>
      <xdr:row>12</xdr:row>
      <xdr:rowOff>0</xdr:rowOff>
    </xdr:from>
    <xdr:to>
      <xdr:col>14</xdr:col>
      <xdr:colOff>1004454</xdr:colOff>
      <xdr:row>13</xdr:row>
      <xdr:rowOff>17318</xdr:rowOff>
    </xdr:to>
    <xdr:sp macro="" textlink="">
      <xdr:nvSpPr>
        <xdr:cNvPr id="6" name="テキスト ボックス 23"/>
        <xdr:cNvSpPr txBox="1"/>
      </xdr:nvSpPr>
      <xdr:spPr>
        <a:xfrm>
          <a:off x="8970818" y="3654136"/>
          <a:ext cx="2216727" cy="329046"/>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2</xdr:col>
      <xdr:colOff>69273</xdr:colOff>
      <xdr:row>14</xdr:row>
      <xdr:rowOff>121227</xdr:rowOff>
    </xdr:from>
    <xdr:to>
      <xdr:col>3</xdr:col>
      <xdr:colOff>2255322</xdr:colOff>
      <xdr:row>17</xdr:row>
      <xdr:rowOff>207818</xdr:rowOff>
    </xdr:to>
    <xdr:sp macro="" textlink="">
      <xdr:nvSpPr>
        <xdr:cNvPr id="7" name="テキスト ボックス 6"/>
        <xdr:cNvSpPr txBox="1"/>
      </xdr:nvSpPr>
      <xdr:spPr>
        <a:xfrm>
          <a:off x="969818" y="4398818"/>
          <a:ext cx="2480459" cy="102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複数あれば</a:t>
          </a:r>
          <a:endParaRPr kumimoji="1" lang="en-US" altLang="ja-JP" sz="1600" b="0">
            <a:solidFill>
              <a:srgbClr val="FF0000"/>
            </a:solidFill>
          </a:endParaRPr>
        </a:p>
        <a:p>
          <a:pPr algn="ctr"/>
          <a:r>
            <a:rPr kumimoji="1" lang="ja-JP" altLang="en-US" sz="1600" b="0">
              <a:solidFill>
                <a:srgbClr val="FF0000"/>
              </a:solidFill>
            </a:rPr>
            <a:t>適宜入力</a:t>
          </a:r>
        </a:p>
      </xdr:txBody>
    </xdr:sp>
    <xdr:clientData/>
  </xdr:twoCellAnchor>
  <xdr:twoCellAnchor>
    <xdr:from>
      <xdr:col>3</xdr:col>
      <xdr:colOff>86590</xdr:colOff>
      <xdr:row>14</xdr:row>
      <xdr:rowOff>121227</xdr:rowOff>
    </xdr:from>
    <xdr:to>
      <xdr:col>3</xdr:col>
      <xdr:colOff>330231</xdr:colOff>
      <xdr:row>17</xdr:row>
      <xdr:rowOff>205344</xdr:rowOff>
    </xdr:to>
    <xdr:sp macro="" textlink="">
      <xdr:nvSpPr>
        <xdr:cNvPr id="8" name="右中かっこ 7"/>
        <xdr:cNvSpPr/>
      </xdr:nvSpPr>
      <xdr:spPr>
        <a:xfrm>
          <a:off x="1281545" y="4398818"/>
          <a:ext cx="243641" cy="1019299"/>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xdr:colOff>
      <xdr:row>25</xdr:row>
      <xdr:rowOff>-1</xdr:rowOff>
    </xdr:from>
    <xdr:to>
      <xdr:col>15</xdr:col>
      <xdr:colOff>0</xdr:colOff>
      <xdr:row>26</xdr:row>
      <xdr:rowOff>17318</xdr:rowOff>
    </xdr:to>
    <xdr:sp macro="" textlink="">
      <xdr:nvSpPr>
        <xdr:cNvPr id="9" name="テキスト ボックス 23"/>
        <xdr:cNvSpPr txBox="1"/>
      </xdr:nvSpPr>
      <xdr:spPr>
        <a:xfrm>
          <a:off x="8953501" y="7290954"/>
          <a:ext cx="2251363" cy="329046"/>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11</xdr:col>
      <xdr:colOff>34637</xdr:colOff>
      <xdr:row>24</xdr:row>
      <xdr:rowOff>294409</xdr:rowOff>
    </xdr:from>
    <xdr:to>
      <xdr:col>15</xdr:col>
      <xdr:colOff>107373</xdr:colOff>
      <xdr:row>26</xdr:row>
      <xdr:rowOff>51954</xdr:rowOff>
    </xdr:to>
    <xdr:sp macro="" textlink="">
      <xdr:nvSpPr>
        <xdr:cNvPr id="10" name="テキスト ボックス 9"/>
        <xdr:cNvSpPr txBox="1"/>
      </xdr:nvSpPr>
      <xdr:spPr>
        <a:xfrm>
          <a:off x="8780319" y="7273636"/>
          <a:ext cx="25319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10</xdr:col>
      <xdr:colOff>883227</xdr:colOff>
      <xdr:row>26</xdr:row>
      <xdr:rowOff>294408</xdr:rowOff>
    </xdr:from>
    <xdr:to>
      <xdr:col>15</xdr:col>
      <xdr:colOff>263235</xdr:colOff>
      <xdr:row>28</xdr:row>
      <xdr:rowOff>51954</xdr:rowOff>
    </xdr:to>
    <xdr:sp macro="" textlink="">
      <xdr:nvSpPr>
        <xdr:cNvPr id="11" name="テキスト ボックス 10"/>
        <xdr:cNvSpPr txBox="1"/>
      </xdr:nvSpPr>
      <xdr:spPr>
        <a:xfrm>
          <a:off x="8607136" y="7897090"/>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10</xdr:col>
      <xdr:colOff>879763</xdr:colOff>
      <xdr:row>28</xdr:row>
      <xdr:rowOff>290945</xdr:rowOff>
    </xdr:from>
    <xdr:to>
      <xdr:col>15</xdr:col>
      <xdr:colOff>259771</xdr:colOff>
      <xdr:row>30</xdr:row>
      <xdr:rowOff>48490</xdr:rowOff>
    </xdr:to>
    <xdr:sp macro="" textlink="">
      <xdr:nvSpPr>
        <xdr:cNvPr id="12" name="テキスト ボックス 11"/>
        <xdr:cNvSpPr txBox="1"/>
      </xdr:nvSpPr>
      <xdr:spPr>
        <a:xfrm>
          <a:off x="8603672" y="8517081"/>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10</xdr:col>
      <xdr:colOff>890154</xdr:colOff>
      <xdr:row>32</xdr:row>
      <xdr:rowOff>266700</xdr:rowOff>
    </xdr:from>
    <xdr:to>
      <xdr:col>15</xdr:col>
      <xdr:colOff>270162</xdr:colOff>
      <xdr:row>34</xdr:row>
      <xdr:rowOff>24245</xdr:rowOff>
    </xdr:to>
    <xdr:sp macro="" textlink="">
      <xdr:nvSpPr>
        <xdr:cNvPr id="14" name="テキスト ボックス 13"/>
        <xdr:cNvSpPr txBox="1"/>
      </xdr:nvSpPr>
      <xdr:spPr>
        <a:xfrm>
          <a:off x="8614063" y="9739745"/>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0</xdr:col>
      <xdr:colOff>412173</xdr:colOff>
      <xdr:row>31</xdr:row>
      <xdr:rowOff>256309</xdr:rowOff>
    </xdr:from>
    <xdr:to>
      <xdr:col>7</xdr:col>
      <xdr:colOff>502228</xdr:colOff>
      <xdr:row>35</xdr:row>
      <xdr:rowOff>169718</xdr:rowOff>
    </xdr:to>
    <xdr:sp macro="" textlink="">
      <xdr:nvSpPr>
        <xdr:cNvPr id="15" name="テキスト ボックス 14"/>
        <xdr:cNvSpPr txBox="1"/>
      </xdr:nvSpPr>
      <xdr:spPr>
        <a:xfrm>
          <a:off x="412173" y="9417627"/>
          <a:ext cx="6792191" cy="102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登録された単位以外の単位を設定する場合は、適宜入力</a:t>
          </a:r>
        </a:p>
      </xdr:txBody>
    </xdr:sp>
    <xdr:clientData/>
  </xdr:twoCellAnchor>
  <xdr:twoCellAnchor>
    <xdr:from>
      <xdr:col>10</xdr:col>
      <xdr:colOff>921327</xdr:colOff>
      <xdr:row>36</xdr:row>
      <xdr:rowOff>142009</xdr:rowOff>
    </xdr:from>
    <xdr:to>
      <xdr:col>15</xdr:col>
      <xdr:colOff>301335</xdr:colOff>
      <xdr:row>38</xdr:row>
      <xdr:rowOff>38100</xdr:rowOff>
    </xdr:to>
    <xdr:sp macro="" textlink="">
      <xdr:nvSpPr>
        <xdr:cNvPr id="16" name="テキスト ボックス 15"/>
        <xdr:cNvSpPr txBox="1"/>
      </xdr:nvSpPr>
      <xdr:spPr>
        <a:xfrm>
          <a:off x="8645236" y="10723418"/>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10</xdr:col>
      <xdr:colOff>900546</xdr:colOff>
      <xdr:row>39</xdr:row>
      <xdr:rowOff>155864</xdr:rowOff>
    </xdr:from>
    <xdr:to>
      <xdr:col>15</xdr:col>
      <xdr:colOff>280554</xdr:colOff>
      <xdr:row>41</xdr:row>
      <xdr:rowOff>51954</xdr:rowOff>
    </xdr:to>
    <xdr:sp macro="" textlink="">
      <xdr:nvSpPr>
        <xdr:cNvPr id="17" name="テキスト ボックス 16"/>
        <xdr:cNvSpPr txBox="1"/>
      </xdr:nvSpPr>
      <xdr:spPr>
        <a:xfrm>
          <a:off x="8624455" y="11533909"/>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15</xdr:col>
      <xdr:colOff>492020</xdr:colOff>
      <xdr:row>6</xdr:row>
      <xdr:rowOff>0</xdr:rowOff>
    </xdr:from>
    <xdr:to>
      <xdr:col>21</xdr:col>
      <xdr:colOff>242456</xdr:colOff>
      <xdr:row>8</xdr:row>
      <xdr:rowOff>30020</xdr:rowOff>
    </xdr:to>
    <xdr:sp macro="" textlink="">
      <xdr:nvSpPr>
        <xdr:cNvPr id="18" name="テキスト ボックス 10"/>
        <xdr:cNvSpPr txBox="1"/>
      </xdr:nvSpPr>
      <xdr:spPr>
        <a:xfrm>
          <a:off x="11696884" y="1922318"/>
          <a:ext cx="4253163" cy="65347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人員数（見込み）を入力</a:t>
          </a:r>
          <a:endParaRPr lang="en-US" altLang="ja-JP" sz="1400">
            <a:solidFill>
              <a:schemeClr val="dk1"/>
            </a:solidFill>
            <a:latin typeface="+mn-ea"/>
          </a:endParaRPr>
        </a:p>
        <a:p>
          <a:r>
            <a:rPr lang="ja-JP" altLang="en-US" sz="1400">
              <a:solidFill>
                <a:schemeClr val="dk1"/>
              </a:solidFill>
              <a:latin typeface="+mn-ea"/>
            </a:rPr>
            <a:t>（独法等がある場合は、独法の人員数も入力）</a:t>
          </a:r>
          <a:endParaRPr lang="en-US" altLang="ja-JP" sz="1400">
            <a:solidFill>
              <a:schemeClr val="dk1"/>
            </a:solidFill>
            <a:latin typeface="+mn-ea"/>
          </a:endParaRPr>
        </a:p>
      </xdr:txBody>
    </xdr:sp>
    <xdr:clientData/>
  </xdr:twoCellAnchor>
  <xdr:twoCellAnchor>
    <xdr:from>
      <xdr:col>15</xdr:col>
      <xdr:colOff>86592</xdr:colOff>
      <xdr:row>6</xdr:row>
      <xdr:rowOff>185883</xdr:rowOff>
    </xdr:from>
    <xdr:to>
      <xdr:col>15</xdr:col>
      <xdr:colOff>398322</xdr:colOff>
      <xdr:row>7</xdr:row>
      <xdr:rowOff>133930</xdr:rowOff>
    </xdr:to>
    <xdr:sp macro="" textlink="">
      <xdr:nvSpPr>
        <xdr:cNvPr id="19" name="下矢印 18"/>
        <xdr:cNvSpPr/>
      </xdr:nvSpPr>
      <xdr:spPr>
        <a:xfrm rot="16200000">
          <a:off x="11317434" y="2082223"/>
          <a:ext cx="259774" cy="311730"/>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17320</xdr:colOff>
      <xdr:row>6</xdr:row>
      <xdr:rowOff>17318</xdr:rowOff>
    </xdr:from>
    <xdr:to>
      <xdr:col>14</xdr:col>
      <xdr:colOff>1004455</xdr:colOff>
      <xdr:row>7</xdr:row>
      <xdr:rowOff>17319</xdr:rowOff>
    </xdr:to>
    <xdr:sp macro="" textlink="">
      <xdr:nvSpPr>
        <xdr:cNvPr id="20" name="テキスト ボックス 23"/>
        <xdr:cNvSpPr txBox="1"/>
      </xdr:nvSpPr>
      <xdr:spPr>
        <a:xfrm>
          <a:off x="8970820" y="1939636"/>
          <a:ext cx="2216726" cy="311728"/>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15</xdr:col>
      <xdr:colOff>509649</xdr:colOff>
      <xdr:row>13</xdr:row>
      <xdr:rowOff>51955</xdr:rowOff>
    </xdr:from>
    <xdr:to>
      <xdr:col>21</xdr:col>
      <xdr:colOff>290699</xdr:colOff>
      <xdr:row>16</xdr:row>
      <xdr:rowOff>133596</xdr:rowOff>
    </xdr:to>
    <xdr:sp macro="" textlink="">
      <xdr:nvSpPr>
        <xdr:cNvPr id="21" name="テキスト ボックス 20"/>
        <xdr:cNvSpPr txBox="1"/>
      </xdr:nvSpPr>
      <xdr:spPr>
        <a:xfrm>
          <a:off x="11714513" y="4017819"/>
          <a:ext cx="4283777" cy="101682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solidFill>
                <a:sysClr val="windowText" lastClr="000000"/>
              </a:solidFill>
            </a:rPr>
            <a:t>現金支出コスト　　： 予算要求額、査定額</a:t>
          </a:r>
          <a:endParaRPr kumimoji="1" lang="en-US" altLang="ja-JP" sz="1400" b="0">
            <a:solidFill>
              <a:sysClr val="windowText" lastClr="000000"/>
            </a:solidFill>
          </a:endParaRPr>
        </a:p>
        <a:p>
          <a:pPr algn="l"/>
          <a:r>
            <a:rPr kumimoji="1" lang="ja-JP" altLang="en-US" sz="1400" b="0">
              <a:solidFill>
                <a:sysClr val="windowText" lastClr="000000"/>
              </a:solidFill>
            </a:rPr>
            <a:t>非現金支出コスト  ： 平成</a:t>
          </a:r>
          <a:r>
            <a:rPr kumimoji="1" lang="en-US" altLang="ja-JP" sz="1400" b="0">
              <a:solidFill>
                <a:sysClr val="windowText" lastClr="000000"/>
              </a:solidFill>
              <a:latin typeface="+mj-ea"/>
              <a:ea typeface="+mj-ea"/>
            </a:rPr>
            <a:t>26</a:t>
          </a:r>
          <a:r>
            <a:rPr kumimoji="1" lang="ja-JP" altLang="en-US" sz="1400" b="0">
              <a:solidFill>
                <a:sysClr val="windowText" lastClr="000000"/>
              </a:solidFill>
            </a:rPr>
            <a:t>～令和元年度の平均額　等</a:t>
          </a:r>
          <a:endParaRPr kumimoji="1" lang="en-US" altLang="ja-JP" sz="1400" b="0">
            <a:solidFill>
              <a:sysClr val="windowText" lastClr="000000"/>
            </a:solidFill>
          </a:endParaRPr>
        </a:p>
        <a:p>
          <a:pPr algn="l"/>
          <a:r>
            <a:rPr kumimoji="1" lang="ja-JP" altLang="en-US" sz="1400" b="0">
              <a:solidFill>
                <a:sysClr val="windowText" lastClr="000000"/>
              </a:solidFill>
            </a:rPr>
            <a:t>を入力</a:t>
          </a:r>
        </a:p>
      </xdr:txBody>
    </xdr:sp>
    <xdr:clientData/>
  </xdr:twoCellAnchor>
  <xdr:twoCellAnchor>
    <xdr:from>
      <xdr:col>15</xdr:col>
      <xdr:colOff>103909</xdr:colOff>
      <xdr:row>14</xdr:row>
      <xdr:rowOff>159821</xdr:rowOff>
    </xdr:from>
    <xdr:to>
      <xdr:col>15</xdr:col>
      <xdr:colOff>412176</xdr:colOff>
      <xdr:row>15</xdr:row>
      <xdr:rowOff>107867</xdr:rowOff>
    </xdr:to>
    <xdr:sp macro="" textlink="">
      <xdr:nvSpPr>
        <xdr:cNvPr id="22" name="下矢印 21"/>
        <xdr:cNvSpPr/>
      </xdr:nvSpPr>
      <xdr:spPr>
        <a:xfrm rot="16200000">
          <a:off x="11333020" y="4413165"/>
          <a:ext cx="259773" cy="308267"/>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523191</xdr:colOff>
      <xdr:row>25</xdr:row>
      <xdr:rowOff>-1</xdr:rowOff>
    </xdr:from>
    <xdr:to>
      <xdr:col>19</xdr:col>
      <xdr:colOff>103907</xdr:colOff>
      <xdr:row>26</xdr:row>
      <xdr:rowOff>50802</xdr:rowOff>
    </xdr:to>
    <xdr:sp macro="" textlink="">
      <xdr:nvSpPr>
        <xdr:cNvPr id="25" name="テキスト ボックス 10"/>
        <xdr:cNvSpPr txBox="1"/>
      </xdr:nvSpPr>
      <xdr:spPr>
        <a:xfrm>
          <a:off x="11728055" y="7290954"/>
          <a:ext cx="2853852" cy="36253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単位（見込値）を入力</a:t>
          </a:r>
          <a:endParaRPr lang="en-US" altLang="ja-JP" sz="1400">
            <a:solidFill>
              <a:schemeClr val="tx1"/>
            </a:solidFill>
            <a:latin typeface="+mn-ea"/>
          </a:endParaRPr>
        </a:p>
      </xdr:txBody>
    </xdr:sp>
    <xdr:clientData/>
  </xdr:twoCellAnchor>
  <xdr:twoCellAnchor>
    <xdr:from>
      <xdr:col>15</xdr:col>
      <xdr:colOff>103908</xdr:colOff>
      <xdr:row>25</xdr:row>
      <xdr:rowOff>9237</xdr:rowOff>
    </xdr:from>
    <xdr:to>
      <xdr:col>15</xdr:col>
      <xdr:colOff>426029</xdr:colOff>
      <xdr:row>25</xdr:row>
      <xdr:rowOff>269011</xdr:rowOff>
    </xdr:to>
    <xdr:sp macro="" textlink="">
      <xdr:nvSpPr>
        <xdr:cNvPr id="26" name="下矢印 25"/>
        <xdr:cNvSpPr/>
      </xdr:nvSpPr>
      <xdr:spPr>
        <a:xfrm rot="16200000">
          <a:off x="11339946" y="7269018"/>
          <a:ext cx="259774" cy="322121"/>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467772</xdr:colOff>
      <xdr:row>36</xdr:row>
      <xdr:rowOff>34636</xdr:rowOff>
    </xdr:from>
    <xdr:to>
      <xdr:col>20</xdr:col>
      <xdr:colOff>571499</xdr:colOff>
      <xdr:row>38</xdr:row>
      <xdr:rowOff>173181</xdr:rowOff>
    </xdr:to>
    <xdr:sp macro="" textlink="">
      <xdr:nvSpPr>
        <xdr:cNvPr id="27" name="テキスト ボックス 10"/>
        <xdr:cNvSpPr txBox="1"/>
      </xdr:nvSpPr>
      <xdr:spPr>
        <a:xfrm>
          <a:off x="11672636" y="10616045"/>
          <a:ext cx="3584681" cy="623454"/>
        </a:xfrm>
        <a:prstGeom prst="rect">
          <a:avLst/>
        </a:prstGeom>
        <a:ln w="127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自己収入がある事業の場合は、</a:t>
          </a:r>
          <a:endParaRPr lang="en-US" altLang="ja-JP" sz="1400">
            <a:solidFill>
              <a:schemeClr val="dk1"/>
            </a:solidFill>
            <a:latin typeface="+mn-ea"/>
          </a:endParaRPr>
        </a:p>
        <a:p>
          <a:r>
            <a:rPr lang="ja-JP" altLang="en-US" sz="1400">
              <a:solidFill>
                <a:schemeClr val="dk1"/>
              </a:solidFill>
              <a:latin typeface="+mn-ea"/>
            </a:rPr>
            <a:t>見込値（国＋独法等）を入力</a:t>
          </a:r>
          <a:endParaRPr lang="en-US" altLang="ja-JP" sz="1400">
            <a:solidFill>
              <a:schemeClr val="tx1"/>
            </a:solidFill>
            <a:latin typeface="+mn-ea"/>
          </a:endParaRPr>
        </a:p>
      </xdr:txBody>
    </xdr:sp>
    <xdr:clientData/>
  </xdr:twoCellAnchor>
  <xdr:twoCellAnchor>
    <xdr:from>
      <xdr:col>15</xdr:col>
      <xdr:colOff>464308</xdr:colOff>
      <xdr:row>39</xdr:row>
      <xdr:rowOff>115451</xdr:rowOff>
    </xdr:from>
    <xdr:to>
      <xdr:col>22</xdr:col>
      <xdr:colOff>481443</xdr:colOff>
      <xdr:row>40</xdr:row>
      <xdr:rowOff>308263</xdr:rowOff>
    </xdr:to>
    <xdr:sp macro="" textlink="">
      <xdr:nvSpPr>
        <xdr:cNvPr id="28" name="テキスト ボックス 10"/>
        <xdr:cNvSpPr txBox="1"/>
      </xdr:nvSpPr>
      <xdr:spPr>
        <a:xfrm>
          <a:off x="11669172" y="11493496"/>
          <a:ext cx="5212589" cy="365994"/>
        </a:xfrm>
        <a:prstGeom prst="rect">
          <a:avLst/>
        </a:prstGeom>
        <a:ln w="127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現金等の給付がある事業の場合は、見込値を入力</a:t>
          </a:r>
          <a:endParaRPr lang="en-US" altLang="ja-JP" sz="1400">
            <a:solidFill>
              <a:schemeClr val="tx1"/>
            </a:solidFill>
            <a:latin typeface="+mn-ea"/>
          </a:endParaRPr>
        </a:p>
      </xdr:txBody>
    </xdr:sp>
    <xdr:clientData/>
  </xdr:twoCellAnchor>
  <xdr:twoCellAnchor>
    <xdr:from>
      <xdr:col>15</xdr:col>
      <xdr:colOff>51953</xdr:colOff>
      <xdr:row>37</xdr:row>
      <xdr:rowOff>48489</xdr:rowOff>
    </xdr:from>
    <xdr:to>
      <xdr:col>15</xdr:col>
      <xdr:colOff>394856</xdr:colOff>
      <xdr:row>37</xdr:row>
      <xdr:rowOff>308263</xdr:rowOff>
    </xdr:to>
    <xdr:sp macro="" textlink="">
      <xdr:nvSpPr>
        <xdr:cNvPr id="29" name="下矢印 28"/>
        <xdr:cNvSpPr/>
      </xdr:nvSpPr>
      <xdr:spPr>
        <a:xfrm rot="16200000">
          <a:off x="11298382" y="10761515"/>
          <a:ext cx="259774" cy="342903"/>
        </a:xfrm>
        <a:prstGeom prst="downArrow">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69271</xdr:colOff>
      <xdr:row>39</xdr:row>
      <xdr:rowOff>166254</xdr:rowOff>
    </xdr:from>
    <xdr:to>
      <xdr:col>15</xdr:col>
      <xdr:colOff>408710</xdr:colOff>
      <xdr:row>40</xdr:row>
      <xdr:rowOff>252846</xdr:rowOff>
    </xdr:to>
    <xdr:sp macro="" textlink="">
      <xdr:nvSpPr>
        <xdr:cNvPr id="30" name="下矢印 29"/>
        <xdr:cNvSpPr/>
      </xdr:nvSpPr>
      <xdr:spPr>
        <a:xfrm rot="16200000">
          <a:off x="11313968" y="11504466"/>
          <a:ext cx="259774" cy="339439"/>
        </a:xfrm>
        <a:prstGeom prst="downArrow">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1676976</xdr:colOff>
      <xdr:row>23</xdr:row>
      <xdr:rowOff>170295</xdr:rowOff>
    </xdr:from>
    <xdr:to>
      <xdr:col>10</xdr:col>
      <xdr:colOff>762000</xdr:colOff>
      <xdr:row>25</xdr:row>
      <xdr:rowOff>86589</xdr:rowOff>
    </xdr:to>
    <xdr:sp macro="" textlink="">
      <xdr:nvSpPr>
        <xdr:cNvPr id="31" name="テキスト ボックス 30"/>
        <xdr:cNvSpPr txBox="1"/>
      </xdr:nvSpPr>
      <xdr:spPr>
        <a:xfrm>
          <a:off x="2851726" y="6806045"/>
          <a:ext cx="5657274" cy="392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0070C0"/>
              </a:solidFill>
            </a:rPr>
            <a:t>※</a:t>
          </a:r>
          <a:r>
            <a:rPr kumimoji="1" lang="ja-JP" altLang="en-US" sz="1400" b="1">
              <a:solidFill>
                <a:srgbClr val="0070C0"/>
              </a:solidFill>
            </a:rPr>
            <a:t>単位当たりコスト　＝　フルコスト合計　</a:t>
          </a:r>
          <a:r>
            <a:rPr kumimoji="1" lang="en-US" altLang="ja-JP" sz="1400" b="1">
              <a:solidFill>
                <a:srgbClr val="0070C0"/>
              </a:solidFill>
            </a:rPr>
            <a:t>÷</a:t>
          </a:r>
          <a:r>
            <a:rPr kumimoji="1" lang="ja-JP" altLang="en-US" sz="1400" b="1">
              <a:solidFill>
                <a:srgbClr val="0070C0"/>
              </a:solidFill>
            </a:rPr>
            <a:t>　単位</a:t>
          </a:r>
        </a:p>
      </xdr:txBody>
    </xdr:sp>
    <xdr:clientData/>
  </xdr:twoCellAnchor>
  <xdr:twoCellAnchor>
    <xdr:from>
      <xdr:col>3</xdr:col>
      <xdr:colOff>1069397</xdr:colOff>
      <xdr:row>34</xdr:row>
      <xdr:rowOff>155863</xdr:rowOff>
    </xdr:from>
    <xdr:to>
      <xdr:col>14</xdr:col>
      <xdr:colOff>968375</xdr:colOff>
      <xdr:row>36</xdr:row>
      <xdr:rowOff>72159</xdr:rowOff>
    </xdr:to>
    <xdr:sp macro="" textlink="">
      <xdr:nvSpPr>
        <xdr:cNvPr id="32" name="テキスト ボックス 31"/>
        <xdr:cNvSpPr txBox="1"/>
      </xdr:nvSpPr>
      <xdr:spPr>
        <a:xfrm>
          <a:off x="2244147" y="9982488"/>
          <a:ext cx="8947728" cy="392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1">
              <a:solidFill>
                <a:srgbClr val="0070C0"/>
              </a:solidFill>
            </a:rPr>
            <a:t>※</a:t>
          </a:r>
          <a:r>
            <a:rPr kumimoji="1" lang="ja-JP" altLang="en-US" sz="1300" b="1">
              <a:solidFill>
                <a:srgbClr val="0070C0"/>
              </a:solidFill>
            </a:rPr>
            <a:t>人件費比率　＝　（　人にかかるコスト　＋　独法等の人件費　）　</a:t>
          </a:r>
          <a:r>
            <a:rPr kumimoji="1" lang="en-US" altLang="ja-JP" sz="1300" b="1">
              <a:solidFill>
                <a:srgbClr val="0070C0"/>
              </a:solidFill>
            </a:rPr>
            <a:t>÷</a:t>
          </a:r>
          <a:r>
            <a:rPr kumimoji="1" lang="ja-JP" altLang="en-US" sz="1300" b="1">
              <a:solidFill>
                <a:srgbClr val="0070C0"/>
              </a:solidFill>
            </a:rPr>
            <a:t>　フルコスト合計</a:t>
          </a:r>
        </a:p>
      </xdr:txBody>
    </xdr:sp>
    <xdr:clientData/>
  </xdr:twoCellAnchor>
  <xdr:twoCellAnchor>
    <xdr:from>
      <xdr:col>3</xdr:col>
      <xdr:colOff>1253547</xdr:colOff>
      <xdr:row>38</xdr:row>
      <xdr:rowOff>26842</xdr:rowOff>
    </xdr:from>
    <xdr:to>
      <xdr:col>12</xdr:col>
      <xdr:colOff>650875</xdr:colOff>
      <xdr:row>39</xdr:row>
      <xdr:rowOff>63500</xdr:rowOff>
    </xdr:to>
    <xdr:sp macro="" textlink="">
      <xdr:nvSpPr>
        <xdr:cNvPr id="33" name="テキスト ボックス 32"/>
        <xdr:cNvSpPr txBox="1"/>
      </xdr:nvSpPr>
      <xdr:spPr>
        <a:xfrm>
          <a:off x="2428297" y="10805967"/>
          <a:ext cx="7207828" cy="33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0070C0"/>
              </a:solidFill>
            </a:rPr>
            <a:t>※</a:t>
          </a:r>
          <a:r>
            <a:rPr kumimoji="1" lang="ja-JP" altLang="en-US" sz="1400" b="1">
              <a:solidFill>
                <a:srgbClr val="0070C0"/>
              </a:solidFill>
            </a:rPr>
            <a:t>自己収入比率　＝　自己収入（国・独法等）　</a:t>
          </a:r>
          <a:r>
            <a:rPr kumimoji="1" lang="en-US" altLang="ja-JP" sz="1400" b="1">
              <a:solidFill>
                <a:srgbClr val="0070C0"/>
              </a:solidFill>
            </a:rPr>
            <a:t>÷</a:t>
          </a:r>
          <a:r>
            <a:rPr kumimoji="1" lang="ja-JP" altLang="en-US" sz="1400" b="1">
              <a:solidFill>
                <a:srgbClr val="0070C0"/>
              </a:solidFill>
            </a:rPr>
            <a:t>　フルコスト合計</a:t>
          </a:r>
        </a:p>
      </xdr:txBody>
    </xdr:sp>
    <xdr:clientData/>
  </xdr:twoCellAnchor>
  <xdr:twoCellAnchor>
    <xdr:from>
      <xdr:col>3</xdr:col>
      <xdr:colOff>1330901</xdr:colOff>
      <xdr:row>41</xdr:row>
      <xdr:rowOff>4618</xdr:rowOff>
    </xdr:from>
    <xdr:to>
      <xdr:col>10</xdr:col>
      <xdr:colOff>984250</xdr:colOff>
      <xdr:row>42</xdr:row>
      <xdr:rowOff>47625</xdr:rowOff>
    </xdr:to>
    <xdr:sp macro="" textlink="">
      <xdr:nvSpPr>
        <xdr:cNvPr id="34" name="テキスト ボックス 33"/>
        <xdr:cNvSpPr txBox="1"/>
      </xdr:nvSpPr>
      <xdr:spPr>
        <a:xfrm>
          <a:off x="2505651" y="11561618"/>
          <a:ext cx="6225599" cy="344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rgbClr val="0070C0"/>
              </a:solidFill>
            </a:rPr>
            <a:t>※</a:t>
          </a:r>
          <a:r>
            <a:rPr kumimoji="1" lang="ja-JP" altLang="en-US" sz="1400" b="1">
              <a:solidFill>
                <a:srgbClr val="0070C0"/>
              </a:solidFill>
            </a:rPr>
            <a:t>間接コスト率　＝　フルコスト合計　</a:t>
          </a:r>
          <a:r>
            <a:rPr kumimoji="1" lang="en-US" altLang="ja-JP" sz="1400" b="1">
              <a:solidFill>
                <a:srgbClr val="0070C0"/>
              </a:solidFill>
            </a:rPr>
            <a:t>÷</a:t>
          </a:r>
          <a:r>
            <a:rPr kumimoji="1" lang="ja-JP" altLang="en-US" sz="1400" b="1">
              <a:solidFill>
                <a:srgbClr val="0070C0"/>
              </a:solidFill>
            </a:rPr>
            <a:t>　資源配分額</a:t>
          </a:r>
        </a:p>
      </xdr:txBody>
    </xdr:sp>
    <xdr:clientData/>
  </xdr:twoCellAnchor>
  <xdr:twoCellAnchor>
    <xdr:from>
      <xdr:col>11</xdr:col>
      <xdr:colOff>190500</xdr:colOff>
      <xdr:row>2</xdr:row>
      <xdr:rowOff>190500</xdr:rowOff>
    </xdr:from>
    <xdr:to>
      <xdr:col>15</xdr:col>
      <xdr:colOff>15875</xdr:colOff>
      <xdr:row>42</xdr:row>
      <xdr:rowOff>1443</xdr:rowOff>
    </xdr:to>
    <xdr:sp macro="" textlink="">
      <xdr:nvSpPr>
        <xdr:cNvPr id="35" name="テキスト ボックス 10"/>
        <xdr:cNvSpPr txBox="1"/>
      </xdr:nvSpPr>
      <xdr:spPr>
        <a:xfrm>
          <a:off x="10001250" y="682625"/>
          <a:ext cx="2301875" cy="10574193"/>
        </a:xfrm>
        <a:prstGeom prst="rect">
          <a:avLst/>
        </a:prstGeom>
        <a:noFill/>
        <a:ln w="38100">
          <a:solidFill>
            <a:schemeClr val="accent5">
              <a:lumMod val="75000"/>
            </a:schemeClr>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6537</xdr:colOff>
      <xdr:row>2</xdr:row>
      <xdr:rowOff>0</xdr:rowOff>
    </xdr:from>
    <xdr:to>
      <xdr:col>3</xdr:col>
      <xdr:colOff>6810376</xdr:colOff>
      <xdr:row>20</xdr:row>
      <xdr:rowOff>85725</xdr:rowOff>
    </xdr:to>
    <xdr:sp macro="" textlink="">
      <xdr:nvSpPr>
        <xdr:cNvPr id="2" name="角丸四角形 1"/>
        <xdr:cNvSpPr/>
      </xdr:nvSpPr>
      <xdr:spPr>
        <a:xfrm>
          <a:off x="216087" y="352425"/>
          <a:ext cx="7165789" cy="4152900"/>
        </a:xfrm>
        <a:prstGeom prst="roundRect">
          <a:avLst/>
        </a:prstGeom>
        <a:noFill/>
        <a:ln w="3492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38101</xdr:colOff>
      <xdr:row>0</xdr:row>
      <xdr:rowOff>38101</xdr:rowOff>
    </xdr:from>
    <xdr:to>
      <xdr:col>3</xdr:col>
      <xdr:colOff>1098177</xdr:colOff>
      <xdr:row>2</xdr:row>
      <xdr:rowOff>95251</xdr:rowOff>
    </xdr:to>
    <xdr:sp macro="" textlink="">
      <xdr:nvSpPr>
        <xdr:cNvPr id="2" name="テキスト ボックス 29"/>
        <xdr:cNvSpPr txBox="1"/>
      </xdr:nvSpPr>
      <xdr:spPr>
        <a:xfrm>
          <a:off x="38101" y="38101"/>
          <a:ext cx="1822076" cy="393326"/>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600" kern="100">
              <a:effectLst/>
              <a:ea typeface="ＭＳ 明朝" panose="02020609040205080304" pitchFamily="17" charset="-128"/>
              <a:cs typeface="Times New Roman" panose="02020603050405020304" pitchFamily="18" charset="0"/>
            </a:rPr>
            <a:t>参考情報</a:t>
          </a:r>
          <a:r>
            <a:rPr lang="en-US" sz="16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104776</xdr:colOff>
      <xdr:row>18</xdr:row>
      <xdr:rowOff>38100</xdr:rowOff>
    </xdr:from>
    <xdr:to>
      <xdr:col>3</xdr:col>
      <xdr:colOff>6207126</xdr:colOff>
      <xdr:row>25</xdr:row>
      <xdr:rowOff>76200</xdr:rowOff>
    </xdr:to>
    <xdr:sp macro="" textlink="">
      <xdr:nvSpPr>
        <xdr:cNvPr id="3" name="角丸四角形 2"/>
        <xdr:cNvSpPr/>
      </xdr:nvSpPr>
      <xdr:spPr>
        <a:xfrm>
          <a:off x="866776" y="3451225"/>
          <a:ext cx="6102350" cy="1371600"/>
        </a:xfrm>
        <a:prstGeom prst="roundRect">
          <a:avLst/>
        </a:prstGeom>
        <a:solidFill>
          <a:sysClr val="window" lastClr="FFFFFF"/>
        </a:solidFill>
        <a:ln w="25400" cap="flat" cmpd="sng" algn="ctr">
          <a:solidFill>
            <a:schemeClr val="tx1"/>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100" u="sng" kern="100">
              <a:effectLst/>
              <a:latin typeface="Century" panose="02040604050505020304" pitchFamily="18" charset="0"/>
              <a:ea typeface="ＭＳ 明朝" panose="02020609040205080304" pitchFamily="17" charset="-128"/>
              <a:cs typeface="Times New Roman" panose="02020603050405020304" pitchFamily="18" charset="0"/>
            </a:rPr>
            <a:t>「財務書類等の一層の活用に向けて（報告書）」（抜粋）</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第２ 活用の方向性</a:t>
          </a:r>
        </a:p>
        <a:p>
          <a:pPr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（３）行政活動の効率化・適正化のための活用</a:t>
          </a:r>
        </a:p>
        <a:p>
          <a:pPr marL="266700" indent="133350"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フルコスト情報の把握・活用により、行政活動の効率化・適正化が可能となるのではないか。</a:t>
          </a:r>
        </a:p>
      </xdr:txBody>
    </xdr:sp>
    <xdr:clientData/>
  </xdr:twoCellAnchor>
  <xdr:twoCellAnchor>
    <xdr:from>
      <xdr:col>3</xdr:col>
      <xdr:colOff>142876</xdr:colOff>
      <xdr:row>32</xdr:row>
      <xdr:rowOff>28574</xdr:rowOff>
    </xdr:from>
    <xdr:to>
      <xdr:col>3</xdr:col>
      <xdr:colOff>6238875</xdr:colOff>
      <xdr:row>44</xdr:row>
      <xdr:rowOff>127000</xdr:rowOff>
    </xdr:to>
    <xdr:sp macro="" textlink="">
      <xdr:nvSpPr>
        <xdr:cNvPr id="4" name="角丸四角形 3"/>
        <xdr:cNvSpPr/>
      </xdr:nvSpPr>
      <xdr:spPr>
        <a:xfrm>
          <a:off x="904876" y="6108699"/>
          <a:ext cx="6095999" cy="2384426"/>
        </a:xfrm>
        <a:prstGeom prst="roundRect">
          <a:avLst/>
        </a:prstGeom>
        <a:solidFill>
          <a:sysClr val="window" lastClr="FFFFFF"/>
        </a:solidFill>
        <a:ln w="25400" cap="flat" cmpd="sng" algn="ctr">
          <a:solidFill>
            <a:schemeClr val="tx1"/>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①　個別事業ごとに要する人件費や事務費に加え、減価償却費や退職給付引当金繰入額といった現金収支を伴わないコストを含むフルコストが明らかになる。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②　国から交付された資金が最終的に国民に行き渡るまでにどのようなコストがどのくらい発生しているのかが把握できるようになる。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③　利用者</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人当たりなどの「単位当たりコスト」を算出することにより、事業のボリュームを把握できるとともに、事業の効率性の分析が可能となる。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1050" u="none" strike="noStrike"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22363</xdr:colOff>
      <xdr:row>3</xdr:row>
      <xdr:rowOff>44824</xdr:rowOff>
    </xdr:from>
    <xdr:to>
      <xdr:col>4</xdr:col>
      <xdr:colOff>7373470</xdr:colOff>
      <xdr:row>9</xdr:row>
      <xdr:rowOff>145676</xdr:rowOff>
    </xdr:to>
    <xdr:sp macro="" textlink="">
      <xdr:nvSpPr>
        <xdr:cNvPr id="2" name="正方形/長方形 1"/>
        <xdr:cNvSpPr/>
      </xdr:nvSpPr>
      <xdr:spPr>
        <a:xfrm>
          <a:off x="380951" y="571500"/>
          <a:ext cx="8550137" cy="941294"/>
        </a:xfrm>
        <a:prstGeom prst="rect">
          <a:avLst/>
        </a:prstGeom>
        <a:noFill/>
        <a:ln w="63500"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212911</xdr:colOff>
      <xdr:row>13</xdr:row>
      <xdr:rowOff>0</xdr:rowOff>
    </xdr:from>
    <xdr:to>
      <xdr:col>4</xdr:col>
      <xdr:colOff>7384675</xdr:colOff>
      <xdr:row>20</xdr:row>
      <xdr:rowOff>0</xdr:rowOff>
    </xdr:to>
    <xdr:sp macro="" textlink="">
      <xdr:nvSpPr>
        <xdr:cNvPr id="3" name="角丸四角形 2"/>
        <xdr:cNvSpPr/>
      </xdr:nvSpPr>
      <xdr:spPr>
        <a:xfrm>
          <a:off x="212911" y="1703294"/>
          <a:ext cx="8438029" cy="1176618"/>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29134</xdr:colOff>
      <xdr:row>23</xdr:row>
      <xdr:rowOff>17930</xdr:rowOff>
    </xdr:from>
    <xdr:to>
      <xdr:col>5</xdr:col>
      <xdr:colOff>17928</xdr:colOff>
      <xdr:row>31</xdr:row>
      <xdr:rowOff>145676</xdr:rowOff>
    </xdr:to>
    <xdr:sp macro="" textlink="">
      <xdr:nvSpPr>
        <xdr:cNvPr id="4" name="角丸四角形 3"/>
        <xdr:cNvSpPr/>
      </xdr:nvSpPr>
      <xdr:spPr>
        <a:xfrm>
          <a:off x="242046" y="3065930"/>
          <a:ext cx="8438029" cy="1304364"/>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208429</xdr:colOff>
      <xdr:row>35</xdr:row>
      <xdr:rowOff>6724</xdr:rowOff>
    </xdr:from>
    <xdr:to>
      <xdr:col>4</xdr:col>
      <xdr:colOff>7380193</xdr:colOff>
      <xdr:row>41</xdr:row>
      <xdr:rowOff>161926</xdr:rowOff>
    </xdr:to>
    <xdr:sp macro="" textlink="">
      <xdr:nvSpPr>
        <xdr:cNvPr id="5" name="角丸四角形 4"/>
        <xdr:cNvSpPr/>
      </xdr:nvSpPr>
      <xdr:spPr>
        <a:xfrm>
          <a:off x="208429" y="5207374"/>
          <a:ext cx="8429064" cy="1183902"/>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24653</xdr:colOff>
      <xdr:row>45</xdr:row>
      <xdr:rowOff>24653</xdr:rowOff>
    </xdr:from>
    <xdr:to>
      <xdr:col>5</xdr:col>
      <xdr:colOff>13447</xdr:colOff>
      <xdr:row>49</xdr:row>
      <xdr:rowOff>145676</xdr:rowOff>
    </xdr:to>
    <xdr:sp macro="" textlink="">
      <xdr:nvSpPr>
        <xdr:cNvPr id="6" name="角丸四角形 5"/>
        <xdr:cNvSpPr/>
      </xdr:nvSpPr>
      <xdr:spPr>
        <a:xfrm>
          <a:off x="237565" y="5930153"/>
          <a:ext cx="8438029" cy="793376"/>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3362</xdr:colOff>
      <xdr:row>12</xdr:row>
      <xdr:rowOff>38100</xdr:rowOff>
    </xdr:from>
    <xdr:to>
      <xdr:col>4</xdr:col>
      <xdr:colOff>904876</xdr:colOff>
      <xdr:row>13</xdr:row>
      <xdr:rowOff>133350</xdr:rowOff>
    </xdr:to>
    <xdr:sp macro="" textlink="">
      <xdr:nvSpPr>
        <xdr:cNvPr id="8" name="角丸四角形 7"/>
        <xdr:cNvSpPr/>
      </xdr:nvSpPr>
      <xdr:spPr>
        <a:xfrm>
          <a:off x="422462" y="180975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単位当たりコスト</a:t>
          </a:r>
        </a:p>
      </xdr:txBody>
    </xdr:sp>
    <xdr:clientData/>
  </xdr:twoCellAnchor>
  <xdr:twoCellAnchor>
    <xdr:from>
      <xdr:col>2</xdr:col>
      <xdr:colOff>3362</xdr:colOff>
      <xdr:row>22</xdr:row>
      <xdr:rowOff>38100</xdr:rowOff>
    </xdr:from>
    <xdr:to>
      <xdr:col>4</xdr:col>
      <xdr:colOff>904876</xdr:colOff>
      <xdr:row>23</xdr:row>
      <xdr:rowOff>133350</xdr:rowOff>
    </xdr:to>
    <xdr:sp macro="" textlink="">
      <xdr:nvSpPr>
        <xdr:cNvPr id="9" name="角丸四角形 8"/>
        <xdr:cNvSpPr/>
      </xdr:nvSpPr>
      <xdr:spPr>
        <a:xfrm>
          <a:off x="422462" y="335280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間接コスト率</a:t>
          </a:r>
        </a:p>
      </xdr:txBody>
    </xdr:sp>
    <xdr:clientData/>
  </xdr:twoCellAnchor>
  <xdr:twoCellAnchor>
    <xdr:from>
      <xdr:col>2</xdr:col>
      <xdr:colOff>22412</xdr:colOff>
      <xdr:row>34</xdr:row>
      <xdr:rowOff>47625</xdr:rowOff>
    </xdr:from>
    <xdr:to>
      <xdr:col>4</xdr:col>
      <xdr:colOff>923926</xdr:colOff>
      <xdr:row>35</xdr:row>
      <xdr:rowOff>142875</xdr:rowOff>
    </xdr:to>
    <xdr:sp macro="" textlink="">
      <xdr:nvSpPr>
        <xdr:cNvPr id="10" name="角丸四角形 9"/>
        <xdr:cNvSpPr/>
      </xdr:nvSpPr>
      <xdr:spPr>
        <a:xfrm>
          <a:off x="441512" y="5076825"/>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自己収入比率</a:t>
          </a:r>
        </a:p>
      </xdr:txBody>
    </xdr:sp>
    <xdr:clientData/>
  </xdr:twoCellAnchor>
  <xdr:twoCellAnchor>
    <xdr:from>
      <xdr:col>2</xdr:col>
      <xdr:colOff>3362</xdr:colOff>
      <xdr:row>44</xdr:row>
      <xdr:rowOff>38100</xdr:rowOff>
    </xdr:from>
    <xdr:to>
      <xdr:col>4</xdr:col>
      <xdr:colOff>904876</xdr:colOff>
      <xdr:row>45</xdr:row>
      <xdr:rowOff>133350</xdr:rowOff>
    </xdr:to>
    <xdr:sp macro="" textlink="">
      <xdr:nvSpPr>
        <xdr:cNvPr id="11" name="角丸四角形 10"/>
        <xdr:cNvSpPr/>
      </xdr:nvSpPr>
      <xdr:spPr>
        <a:xfrm>
          <a:off x="422462" y="678180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人件費比率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6"/>
  <sheetViews>
    <sheetView showGridLines="0" tabSelected="1" view="pageBreakPreview" zoomScale="70" zoomScaleNormal="100" zoomScaleSheetLayoutView="70" workbookViewId="0">
      <selection activeCell="C13" sqref="C13"/>
    </sheetView>
  </sheetViews>
  <sheetFormatPr defaultRowHeight="13.5" x14ac:dyDescent="0.15"/>
  <cols>
    <col min="1" max="1" width="5.5" customWidth="1"/>
    <col min="2" max="2" width="13.25" customWidth="1"/>
    <col min="3" max="3" width="54.125" customWidth="1"/>
    <col min="4" max="4" width="20.875" customWidth="1"/>
    <col min="5" max="6" width="11.25" customWidth="1"/>
    <col min="7" max="10" width="21.75" customWidth="1"/>
    <col min="11" max="11" width="29.375" customWidth="1"/>
  </cols>
  <sheetData>
    <row r="2" spans="1:11" ht="15" customHeight="1" x14ac:dyDescent="0.15">
      <c r="B2" s="614" t="s">
        <v>28</v>
      </c>
      <c r="C2" s="617" t="s">
        <v>29</v>
      </c>
      <c r="D2" s="614" t="s">
        <v>30</v>
      </c>
      <c r="E2" s="617" t="s">
        <v>118</v>
      </c>
      <c r="F2" s="620" t="s">
        <v>551</v>
      </c>
      <c r="G2" s="617" t="s">
        <v>141</v>
      </c>
      <c r="H2" s="617" t="s">
        <v>142</v>
      </c>
      <c r="I2" s="617" t="s">
        <v>143</v>
      </c>
      <c r="J2" s="617" t="s">
        <v>144</v>
      </c>
      <c r="K2" s="614" t="s">
        <v>126</v>
      </c>
    </row>
    <row r="3" spans="1:11" ht="15" customHeight="1" x14ac:dyDescent="0.15">
      <c r="B3" s="615"/>
      <c r="C3" s="618"/>
      <c r="D3" s="615"/>
      <c r="E3" s="618"/>
      <c r="F3" s="621"/>
      <c r="G3" s="618"/>
      <c r="H3" s="618"/>
      <c r="I3" s="618"/>
      <c r="J3" s="618"/>
      <c r="K3" s="615"/>
    </row>
    <row r="4" spans="1:11" ht="15" customHeight="1" x14ac:dyDescent="0.15">
      <c r="B4" s="616"/>
      <c r="C4" s="619"/>
      <c r="D4" s="616"/>
      <c r="E4" s="619"/>
      <c r="F4" s="622"/>
      <c r="G4" s="619"/>
      <c r="H4" s="619"/>
      <c r="I4" s="619"/>
      <c r="J4" s="619"/>
      <c r="K4" s="616"/>
    </row>
    <row r="5" spans="1:11" ht="15" hidden="1" customHeight="1" x14ac:dyDescent="0.15">
      <c r="B5" s="458"/>
      <c r="C5" s="544" t="s">
        <v>474</v>
      </c>
      <c r="D5" s="458"/>
      <c r="E5" s="459"/>
      <c r="F5" s="592"/>
      <c r="G5" s="459"/>
      <c r="H5" s="459"/>
      <c r="I5" s="459"/>
      <c r="J5" s="459"/>
      <c r="K5" s="460"/>
    </row>
    <row r="6" spans="1:11" ht="42" customHeight="1" x14ac:dyDescent="0.15">
      <c r="A6">
        <v>1</v>
      </c>
      <c r="B6" s="323" t="s">
        <v>37</v>
      </c>
      <c r="C6" s="324" t="s">
        <v>190</v>
      </c>
      <c r="D6" s="325" t="s">
        <v>35</v>
      </c>
      <c r="E6" s="326" t="s">
        <v>36</v>
      </c>
      <c r="F6" s="330">
        <v>11</v>
      </c>
      <c r="G6" s="327" t="s">
        <v>228</v>
      </c>
      <c r="H6" s="327"/>
      <c r="I6" s="327"/>
      <c r="J6" s="327"/>
      <c r="K6" s="59" t="str">
        <f>CONCATENATE(D6,"（",E6,"）")</f>
        <v>直接行政サービス事業（直接型）</v>
      </c>
    </row>
    <row r="7" spans="1:11" ht="42" customHeight="1" x14ac:dyDescent="0.15">
      <c r="A7">
        <v>2</v>
      </c>
      <c r="B7" s="323" t="s">
        <v>37</v>
      </c>
      <c r="C7" s="324" t="s">
        <v>191</v>
      </c>
      <c r="D7" s="325" t="s">
        <v>35</v>
      </c>
      <c r="E7" s="326" t="s">
        <v>36</v>
      </c>
      <c r="F7" s="330">
        <v>16</v>
      </c>
      <c r="G7" s="327" t="s">
        <v>229</v>
      </c>
      <c r="H7" s="327"/>
      <c r="I7" s="327"/>
      <c r="J7" s="327"/>
      <c r="K7" s="322" t="str">
        <f t="shared" ref="K7:K70" si="0">CONCATENATE(D7,"（",E7,"）")</f>
        <v>直接行政サービス事業（直接型）</v>
      </c>
    </row>
    <row r="8" spans="1:11" ht="42" customHeight="1" x14ac:dyDescent="0.15">
      <c r="A8">
        <v>3</v>
      </c>
      <c r="B8" s="323" t="s">
        <v>37</v>
      </c>
      <c r="C8" s="324" t="s">
        <v>189</v>
      </c>
      <c r="D8" s="325" t="s">
        <v>35</v>
      </c>
      <c r="E8" s="326" t="s">
        <v>36</v>
      </c>
      <c r="F8" s="330">
        <v>16</v>
      </c>
      <c r="G8" s="327" t="s">
        <v>229</v>
      </c>
      <c r="H8" s="327"/>
      <c r="I8" s="327"/>
      <c r="J8" s="327"/>
      <c r="K8" s="322" t="str">
        <f t="shared" si="0"/>
        <v>直接行政サービス事業（直接型）</v>
      </c>
    </row>
    <row r="9" spans="1:11" ht="42" customHeight="1" x14ac:dyDescent="0.15">
      <c r="A9">
        <v>4</v>
      </c>
      <c r="B9" s="323" t="s">
        <v>37</v>
      </c>
      <c r="C9" s="324" t="s">
        <v>223</v>
      </c>
      <c r="D9" s="325" t="s">
        <v>35</v>
      </c>
      <c r="E9" s="326" t="s">
        <v>36</v>
      </c>
      <c r="F9" s="330">
        <v>17</v>
      </c>
      <c r="G9" s="327" t="s">
        <v>230</v>
      </c>
      <c r="H9" s="327"/>
      <c r="I9" s="327"/>
      <c r="J9" s="327"/>
      <c r="K9" s="322" t="str">
        <f t="shared" si="0"/>
        <v>直接行政サービス事業（直接型）</v>
      </c>
    </row>
    <row r="10" spans="1:11" ht="42" customHeight="1" x14ac:dyDescent="0.15">
      <c r="A10">
        <v>5</v>
      </c>
      <c r="B10" s="328" t="s">
        <v>37</v>
      </c>
      <c r="C10" s="327" t="s">
        <v>377</v>
      </c>
      <c r="D10" s="328" t="s">
        <v>338</v>
      </c>
      <c r="E10" s="328" t="s">
        <v>339</v>
      </c>
      <c r="F10" s="331">
        <v>35</v>
      </c>
      <c r="G10" s="327" t="s">
        <v>359</v>
      </c>
      <c r="H10" s="327"/>
      <c r="I10" s="327"/>
      <c r="J10" s="327"/>
      <c r="K10" s="322" t="str">
        <f t="shared" si="0"/>
        <v>直接行政サービス事業（直接型）</v>
      </c>
    </row>
    <row r="11" spans="1:11" ht="42" customHeight="1" x14ac:dyDescent="0.15">
      <c r="A11">
        <v>6</v>
      </c>
      <c r="B11" s="328" t="s">
        <v>37</v>
      </c>
      <c r="C11" s="327" t="s">
        <v>461</v>
      </c>
      <c r="D11" s="328" t="s">
        <v>338</v>
      </c>
      <c r="E11" s="328" t="s">
        <v>36</v>
      </c>
      <c r="F11" s="604" t="s">
        <v>434</v>
      </c>
      <c r="G11" s="327" t="s">
        <v>384</v>
      </c>
      <c r="H11" s="327"/>
      <c r="I11" s="327"/>
      <c r="J11" s="327"/>
      <c r="K11" s="350" t="str">
        <f t="shared" ref="K11" si="1">CONCATENATE(D11,"（",E11,"）")</f>
        <v>直接行政サービス事業（直接型）</v>
      </c>
    </row>
    <row r="12" spans="1:11" ht="42" customHeight="1" x14ac:dyDescent="0.15">
      <c r="A12">
        <v>7</v>
      </c>
      <c r="B12" s="323" t="s">
        <v>37</v>
      </c>
      <c r="C12" s="324" t="s">
        <v>187</v>
      </c>
      <c r="D12" s="325" t="s">
        <v>35</v>
      </c>
      <c r="E12" s="326" t="s">
        <v>38</v>
      </c>
      <c r="F12" s="330">
        <v>1</v>
      </c>
      <c r="G12" s="327" t="s">
        <v>231</v>
      </c>
      <c r="H12" s="327"/>
      <c r="I12" s="327"/>
      <c r="J12" s="327"/>
      <c r="K12" s="322" t="str">
        <f t="shared" si="0"/>
        <v>直接行政サービス事業（間接型）</v>
      </c>
    </row>
    <row r="13" spans="1:11" ht="42" customHeight="1" x14ac:dyDescent="0.15">
      <c r="A13">
        <v>8</v>
      </c>
      <c r="B13" s="323" t="s">
        <v>37</v>
      </c>
      <c r="C13" s="324" t="s">
        <v>188</v>
      </c>
      <c r="D13" s="325" t="s">
        <v>35</v>
      </c>
      <c r="E13" s="326" t="s">
        <v>38</v>
      </c>
      <c r="F13" s="330">
        <v>37</v>
      </c>
      <c r="G13" s="327" t="s">
        <v>232</v>
      </c>
      <c r="H13" s="327"/>
      <c r="I13" s="327"/>
      <c r="J13" s="327"/>
      <c r="K13" s="322" t="str">
        <f t="shared" si="0"/>
        <v>直接行政サービス事業（間接型）</v>
      </c>
    </row>
    <row r="14" spans="1:11" ht="42" customHeight="1" x14ac:dyDescent="0.15">
      <c r="A14">
        <v>9</v>
      </c>
      <c r="B14" s="323" t="s">
        <v>37</v>
      </c>
      <c r="C14" s="324" t="s">
        <v>96</v>
      </c>
      <c r="D14" s="325" t="s">
        <v>87</v>
      </c>
      <c r="E14" s="326" t="s">
        <v>36</v>
      </c>
      <c r="F14" s="330">
        <v>30</v>
      </c>
      <c r="G14" s="327" t="s">
        <v>233</v>
      </c>
      <c r="H14" s="327"/>
      <c r="I14" s="327"/>
      <c r="J14" s="327"/>
      <c r="K14" s="322" t="str">
        <f t="shared" si="0"/>
        <v>資源配分事業（直接型）</v>
      </c>
    </row>
    <row r="15" spans="1:11" ht="42" customHeight="1" x14ac:dyDescent="0.15">
      <c r="A15">
        <v>10</v>
      </c>
      <c r="B15" s="323" t="s">
        <v>86</v>
      </c>
      <c r="C15" s="324" t="s">
        <v>381</v>
      </c>
      <c r="D15" s="325" t="s">
        <v>35</v>
      </c>
      <c r="E15" s="326" t="s">
        <v>36</v>
      </c>
      <c r="F15" s="330">
        <v>3</v>
      </c>
      <c r="G15" s="327" t="s">
        <v>382</v>
      </c>
      <c r="H15" s="327"/>
      <c r="I15" s="327"/>
      <c r="J15" s="327"/>
      <c r="K15" s="322" t="str">
        <f t="shared" si="0"/>
        <v>直接行政サービス事業（直接型）</v>
      </c>
    </row>
    <row r="16" spans="1:11" ht="42" customHeight="1" x14ac:dyDescent="0.15">
      <c r="A16">
        <v>11</v>
      </c>
      <c r="B16" s="323" t="s">
        <v>88</v>
      </c>
      <c r="C16" s="324" t="s">
        <v>89</v>
      </c>
      <c r="D16" s="325" t="s">
        <v>35</v>
      </c>
      <c r="E16" s="326" t="s">
        <v>36</v>
      </c>
      <c r="F16" s="326">
        <v>2</v>
      </c>
      <c r="G16" s="327" t="s">
        <v>333</v>
      </c>
      <c r="H16" s="327" t="s">
        <v>334</v>
      </c>
      <c r="I16" s="327"/>
      <c r="J16" s="327"/>
      <c r="K16" s="322" t="str">
        <f t="shared" si="0"/>
        <v>直接行政サービス事業（直接型）</v>
      </c>
    </row>
    <row r="17" spans="1:11" ht="42" customHeight="1" x14ac:dyDescent="0.15">
      <c r="A17">
        <v>12</v>
      </c>
      <c r="B17" s="323" t="s">
        <v>39</v>
      </c>
      <c r="C17" s="324" t="s">
        <v>503</v>
      </c>
      <c r="D17" s="325" t="s">
        <v>35</v>
      </c>
      <c r="E17" s="326" t="s">
        <v>36</v>
      </c>
      <c r="F17" s="326">
        <v>5</v>
      </c>
      <c r="G17" s="327" t="s">
        <v>234</v>
      </c>
      <c r="H17" s="327" t="s">
        <v>331</v>
      </c>
      <c r="I17" s="327" t="s">
        <v>621</v>
      </c>
      <c r="J17" s="327"/>
      <c r="K17" s="322" t="str">
        <f t="shared" si="0"/>
        <v>直接行政サービス事業（直接型）</v>
      </c>
    </row>
    <row r="18" spans="1:11" ht="42" customHeight="1" x14ac:dyDescent="0.15">
      <c r="A18">
        <v>13</v>
      </c>
      <c r="B18" s="323" t="s">
        <v>88</v>
      </c>
      <c r="C18" s="324" t="s">
        <v>504</v>
      </c>
      <c r="D18" s="325" t="s">
        <v>35</v>
      </c>
      <c r="E18" s="326" t="s">
        <v>36</v>
      </c>
      <c r="F18" s="326">
        <v>5</v>
      </c>
      <c r="G18" s="327" t="s">
        <v>234</v>
      </c>
      <c r="H18" s="327"/>
      <c r="I18" s="327"/>
      <c r="J18" s="327"/>
      <c r="K18" s="322"/>
    </row>
    <row r="19" spans="1:11" ht="42" customHeight="1" x14ac:dyDescent="0.15">
      <c r="A19">
        <v>14</v>
      </c>
      <c r="B19" s="323" t="s">
        <v>88</v>
      </c>
      <c r="C19" s="324" t="s">
        <v>505</v>
      </c>
      <c r="D19" s="325" t="s">
        <v>35</v>
      </c>
      <c r="E19" s="326" t="s">
        <v>36</v>
      </c>
      <c r="F19" s="326">
        <v>5</v>
      </c>
      <c r="G19" s="327" t="s">
        <v>331</v>
      </c>
      <c r="H19" s="324"/>
      <c r="I19" s="324"/>
      <c r="J19" s="324"/>
      <c r="K19" s="322"/>
    </row>
    <row r="20" spans="1:11" s="6" customFormat="1" ht="42" customHeight="1" x14ac:dyDescent="0.15">
      <c r="A20" s="6">
        <v>15</v>
      </c>
      <c r="B20" s="323" t="s">
        <v>529</v>
      </c>
      <c r="C20" s="324" t="s">
        <v>531</v>
      </c>
      <c r="D20" s="591" t="s">
        <v>532</v>
      </c>
      <c r="E20" s="330" t="s">
        <v>533</v>
      </c>
      <c r="F20" s="330">
        <v>5</v>
      </c>
      <c r="G20" s="324" t="s">
        <v>602</v>
      </c>
      <c r="H20" s="324"/>
      <c r="I20" s="324"/>
      <c r="J20" s="324"/>
      <c r="K20" s="579"/>
    </row>
    <row r="21" spans="1:11" ht="42" customHeight="1" x14ac:dyDescent="0.15">
      <c r="A21">
        <v>16</v>
      </c>
      <c r="B21" s="323" t="s">
        <v>39</v>
      </c>
      <c r="C21" s="324" t="s">
        <v>91</v>
      </c>
      <c r="D21" s="325" t="s">
        <v>35</v>
      </c>
      <c r="E21" s="326" t="s">
        <v>36</v>
      </c>
      <c r="F21" s="326">
        <v>7</v>
      </c>
      <c r="G21" s="327" t="s">
        <v>235</v>
      </c>
      <c r="H21" s="327"/>
      <c r="I21" s="327"/>
      <c r="J21" s="327"/>
      <c r="K21" s="322" t="str">
        <f t="shared" si="0"/>
        <v>直接行政サービス事業（直接型）</v>
      </c>
    </row>
    <row r="22" spans="1:11" ht="42" customHeight="1" x14ac:dyDescent="0.15">
      <c r="A22">
        <v>17</v>
      </c>
      <c r="B22" s="323" t="s">
        <v>39</v>
      </c>
      <c r="C22" s="324" t="s">
        <v>92</v>
      </c>
      <c r="D22" s="323" t="s">
        <v>35</v>
      </c>
      <c r="E22" s="330" t="s">
        <v>38</v>
      </c>
      <c r="F22" s="330">
        <v>7</v>
      </c>
      <c r="G22" s="324" t="s">
        <v>236</v>
      </c>
      <c r="H22" s="324"/>
      <c r="I22" s="324"/>
      <c r="J22" s="324"/>
      <c r="K22" s="322" t="str">
        <f t="shared" si="0"/>
        <v>直接行政サービス事業（間接型）</v>
      </c>
    </row>
    <row r="23" spans="1:11" ht="42" customHeight="1" x14ac:dyDescent="0.15">
      <c r="A23">
        <v>18</v>
      </c>
      <c r="B23" s="323" t="s">
        <v>88</v>
      </c>
      <c r="C23" s="324" t="s">
        <v>90</v>
      </c>
      <c r="D23" s="325" t="s">
        <v>87</v>
      </c>
      <c r="E23" s="326" t="s">
        <v>36</v>
      </c>
      <c r="F23" s="326">
        <v>7</v>
      </c>
      <c r="G23" s="327" t="s">
        <v>237</v>
      </c>
      <c r="H23" s="327"/>
      <c r="I23" s="327"/>
      <c r="J23" s="327"/>
      <c r="K23" s="322" t="str">
        <f t="shared" si="0"/>
        <v>資源配分事業（直接型）</v>
      </c>
    </row>
    <row r="24" spans="1:11" ht="42" customHeight="1" x14ac:dyDescent="0.15">
      <c r="A24">
        <v>19</v>
      </c>
      <c r="B24" s="328" t="s">
        <v>93</v>
      </c>
      <c r="C24" s="327" t="s">
        <v>356</v>
      </c>
      <c r="D24" s="328" t="s">
        <v>338</v>
      </c>
      <c r="E24" s="328" t="s">
        <v>339</v>
      </c>
      <c r="F24" s="328">
        <v>1</v>
      </c>
      <c r="G24" s="327" t="s">
        <v>359</v>
      </c>
      <c r="H24" s="327"/>
      <c r="I24" s="327"/>
      <c r="J24" s="327"/>
      <c r="K24" s="322" t="str">
        <f t="shared" si="0"/>
        <v>直接行政サービス事業（直接型）</v>
      </c>
    </row>
    <row r="25" spans="1:11" ht="42" customHeight="1" x14ac:dyDescent="0.15">
      <c r="A25">
        <v>20</v>
      </c>
      <c r="B25" s="323" t="s">
        <v>93</v>
      </c>
      <c r="C25" s="324" t="s">
        <v>94</v>
      </c>
      <c r="D25" s="325" t="s">
        <v>35</v>
      </c>
      <c r="E25" s="326" t="s">
        <v>36</v>
      </c>
      <c r="F25" s="326">
        <v>6</v>
      </c>
      <c r="G25" s="327" t="s">
        <v>238</v>
      </c>
      <c r="H25" s="327"/>
      <c r="I25" s="327"/>
      <c r="J25" s="327"/>
      <c r="K25" s="322" t="str">
        <f t="shared" si="0"/>
        <v>直接行政サービス事業（直接型）</v>
      </c>
    </row>
    <row r="26" spans="1:11" ht="42" customHeight="1" x14ac:dyDescent="0.15">
      <c r="A26">
        <v>21</v>
      </c>
      <c r="B26" s="328" t="s">
        <v>93</v>
      </c>
      <c r="C26" s="327" t="s">
        <v>506</v>
      </c>
      <c r="D26" s="328" t="s">
        <v>338</v>
      </c>
      <c r="E26" s="328" t="s">
        <v>339</v>
      </c>
      <c r="F26" s="328">
        <v>11</v>
      </c>
      <c r="G26" s="327" t="s">
        <v>358</v>
      </c>
      <c r="H26" s="327"/>
      <c r="I26" s="327"/>
      <c r="J26" s="327"/>
      <c r="K26" s="322" t="str">
        <f t="shared" si="0"/>
        <v>直接行政サービス事業（直接型）</v>
      </c>
    </row>
    <row r="27" spans="1:11" ht="42" customHeight="1" x14ac:dyDescent="0.15">
      <c r="A27">
        <v>22</v>
      </c>
      <c r="B27" s="323" t="s">
        <v>93</v>
      </c>
      <c r="C27" s="324" t="s">
        <v>95</v>
      </c>
      <c r="D27" s="325" t="s">
        <v>35</v>
      </c>
      <c r="E27" s="326" t="s">
        <v>36</v>
      </c>
      <c r="F27" s="326">
        <v>12</v>
      </c>
      <c r="G27" s="327" t="s">
        <v>239</v>
      </c>
      <c r="H27" s="327"/>
      <c r="I27" s="327"/>
      <c r="J27" s="327"/>
      <c r="K27" s="322" t="str">
        <f t="shared" si="0"/>
        <v>直接行政サービス事業（直接型）</v>
      </c>
    </row>
    <row r="28" spans="1:11" ht="42" customHeight="1" x14ac:dyDescent="0.15">
      <c r="A28">
        <v>23</v>
      </c>
      <c r="B28" s="323" t="s">
        <v>93</v>
      </c>
      <c r="C28" s="324" t="s">
        <v>332</v>
      </c>
      <c r="D28" s="325" t="s">
        <v>35</v>
      </c>
      <c r="E28" s="326" t="s">
        <v>36</v>
      </c>
      <c r="F28" s="326">
        <v>13</v>
      </c>
      <c r="G28" s="327" t="s">
        <v>240</v>
      </c>
      <c r="H28" s="327"/>
      <c r="I28" s="327"/>
      <c r="J28" s="327"/>
      <c r="K28" s="322" t="str">
        <f t="shared" si="0"/>
        <v>直接行政サービス事業（直接型）</v>
      </c>
    </row>
    <row r="29" spans="1:11" ht="42" customHeight="1" x14ac:dyDescent="0.15">
      <c r="A29">
        <v>24</v>
      </c>
      <c r="B29" s="328" t="s">
        <v>97</v>
      </c>
      <c r="C29" s="327" t="s">
        <v>428</v>
      </c>
      <c r="D29" s="328" t="s">
        <v>338</v>
      </c>
      <c r="E29" s="328" t="s">
        <v>339</v>
      </c>
      <c r="F29" s="328">
        <v>3</v>
      </c>
      <c r="G29" s="327" t="s">
        <v>360</v>
      </c>
      <c r="H29" s="327" t="s">
        <v>361</v>
      </c>
      <c r="I29" s="327"/>
      <c r="J29" s="327"/>
      <c r="K29" s="322" t="str">
        <f t="shared" si="0"/>
        <v>直接行政サービス事業（直接型）</v>
      </c>
    </row>
    <row r="30" spans="1:11" ht="42" customHeight="1" x14ac:dyDescent="0.15">
      <c r="A30">
        <v>25</v>
      </c>
      <c r="B30" s="328" t="s">
        <v>97</v>
      </c>
      <c r="C30" s="327" t="s">
        <v>427</v>
      </c>
      <c r="D30" s="328" t="s">
        <v>338</v>
      </c>
      <c r="E30" s="328" t="s">
        <v>339</v>
      </c>
      <c r="F30" s="328">
        <v>3</v>
      </c>
      <c r="G30" s="327" t="s">
        <v>363</v>
      </c>
      <c r="H30" s="327" t="s">
        <v>443</v>
      </c>
      <c r="I30" s="327" t="s">
        <v>361</v>
      </c>
      <c r="J30" s="327"/>
      <c r="K30" s="322" t="str">
        <f t="shared" si="0"/>
        <v>直接行政サービス事業（直接型）</v>
      </c>
    </row>
    <row r="31" spans="1:11" ht="42" customHeight="1" x14ac:dyDescent="0.15">
      <c r="A31">
        <v>26</v>
      </c>
      <c r="B31" s="328" t="s">
        <v>97</v>
      </c>
      <c r="C31" s="327" t="s">
        <v>355</v>
      </c>
      <c r="D31" s="328" t="s">
        <v>338</v>
      </c>
      <c r="E31" s="328" t="s">
        <v>339</v>
      </c>
      <c r="F31" s="328">
        <v>3</v>
      </c>
      <c r="G31" s="327" t="s">
        <v>360</v>
      </c>
      <c r="H31" s="327" t="s">
        <v>362</v>
      </c>
      <c r="I31" s="327"/>
      <c r="J31" s="327"/>
      <c r="K31" s="322" t="str">
        <f t="shared" si="0"/>
        <v>直接行政サービス事業（直接型）</v>
      </c>
    </row>
    <row r="32" spans="1:11" ht="42" customHeight="1" x14ac:dyDescent="0.15">
      <c r="A32">
        <v>27</v>
      </c>
      <c r="B32" s="323" t="s">
        <v>98</v>
      </c>
      <c r="C32" s="324" t="s">
        <v>99</v>
      </c>
      <c r="D32" s="325" t="s">
        <v>35</v>
      </c>
      <c r="E32" s="326" t="s">
        <v>36</v>
      </c>
      <c r="F32" s="326">
        <v>2</v>
      </c>
      <c r="G32" s="327" t="s">
        <v>458</v>
      </c>
      <c r="H32" s="327"/>
      <c r="I32" s="327"/>
      <c r="J32" s="327"/>
      <c r="K32" s="322" t="str">
        <f t="shared" si="0"/>
        <v>直接行政サービス事業（直接型）</v>
      </c>
    </row>
    <row r="33" spans="1:11" ht="42" customHeight="1" x14ac:dyDescent="0.15">
      <c r="A33">
        <v>28</v>
      </c>
      <c r="B33" s="328" t="s">
        <v>98</v>
      </c>
      <c r="C33" s="327" t="s">
        <v>354</v>
      </c>
      <c r="D33" s="328" t="s">
        <v>338</v>
      </c>
      <c r="E33" s="328" t="s">
        <v>339</v>
      </c>
      <c r="F33" s="328">
        <v>2</v>
      </c>
      <c r="G33" s="327" t="s">
        <v>364</v>
      </c>
      <c r="H33" s="327" t="s">
        <v>374</v>
      </c>
      <c r="I33" s="327"/>
      <c r="J33" s="327"/>
      <c r="K33" s="322" t="str">
        <f t="shared" si="0"/>
        <v>直接行政サービス事業（直接型）</v>
      </c>
    </row>
    <row r="34" spans="1:11" ht="42" customHeight="1" x14ac:dyDescent="0.15">
      <c r="A34">
        <v>29</v>
      </c>
      <c r="B34" s="323" t="s">
        <v>98</v>
      </c>
      <c r="C34" s="324" t="s">
        <v>100</v>
      </c>
      <c r="D34" s="325" t="s">
        <v>35</v>
      </c>
      <c r="E34" s="326" t="s">
        <v>36</v>
      </c>
      <c r="F34" s="326">
        <v>5</v>
      </c>
      <c r="G34" s="327" t="s">
        <v>459</v>
      </c>
      <c r="H34" s="327"/>
      <c r="I34" s="327"/>
      <c r="J34" s="327"/>
      <c r="K34" s="322" t="str">
        <f t="shared" si="0"/>
        <v>直接行政サービス事業（直接型）</v>
      </c>
    </row>
    <row r="35" spans="1:11" ht="42" customHeight="1" x14ac:dyDescent="0.15">
      <c r="A35">
        <v>30</v>
      </c>
      <c r="B35" s="323" t="s">
        <v>98</v>
      </c>
      <c r="C35" s="324" t="s">
        <v>101</v>
      </c>
      <c r="D35" s="325" t="s">
        <v>35</v>
      </c>
      <c r="E35" s="326" t="s">
        <v>36</v>
      </c>
      <c r="F35" s="326">
        <v>5</v>
      </c>
      <c r="G35" s="327" t="s">
        <v>460</v>
      </c>
      <c r="H35" s="327"/>
      <c r="I35" s="327"/>
      <c r="J35" s="327"/>
      <c r="K35" s="322" t="str">
        <f t="shared" si="0"/>
        <v>直接行政サービス事業（直接型）</v>
      </c>
    </row>
    <row r="36" spans="1:11" ht="42" customHeight="1" x14ac:dyDescent="0.15">
      <c r="A36">
        <v>31</v>
      </c>
      <c r="B36" s="328" t="s">
        <v>102</v>
      </c>
      <c r="C36" s="327" t="s">
        <v>430</v>
      </c>
      <c r="D36" s="328" t="s">
        <v>338</v>
      </c>
      <c r="E36" s="328" t="s">
        <v>345</v>
      </c>
      <c r="F36" s="331">
        <v>1</v>
      </c>
      <c r="G36" s="327" t="s">
        <v>365</v>
      </c>
      <c r="H36" s="327" t="s">
        <v>444</v>
      </c>
      <c r="I36" s="327"/>
      <c r="J36" s="327"/>
      <c r="K36" s="322" t="str">
        <f t="shared" si="0"/>
        <v>直接行政サービス事業（間接型）</v>
      </c>
    </row>
    <row r="37" spans="1:11" ht="42" customHeight="1" x14ac:dyDescent="0.15">
      <c r="A37">
        <v>32</v>
      </c>
      <c r="B37" s="323" t="s">
        <v>102</v>
      </c>
      <c r="C37" s="324" t="s">
        <v>224</v>
      </c>
      <c r="D37" s="325" t="s">
        <v>35</v>
      </c>
      <c r="E37" s="326" t="s">
        <v>38</v>
      </c>
      <c r="F37" s="330">
        <v>2</v>
      </c>
      <c r="G37" s="327" t="s">
        <v>359</v>
      </c>
      <c r="H37" s="327" t="s">
        <v>241</v>
      </c>
      <c r="I37" s="327"/>
      <c r="J37" s="327"/>
      <c r="K37" s="322" t="str">
        <f t="shared" si="0"/>
        <v>直接行政サービス事業（間接型）</v>
      </c>
    </row>
    <row r="38" spans="1:11" ht="42" customHeight="1" x14ac:dyDescent="0.15">
      <c r="A38">
        <v>33</v>
      </c>
      <c r="B38" s="328" t="s">
        <v>102</v>
      </c>
      <c r="C38" s="327" t="s">
        <v>429</v>
      </c>
      <c r="D38" s="328" t="s">
        <v>338</v>
      </c>
      <c r="E38" s="328" t="s">
        <v>345</v>
      </c>
      <c r="F38" s="331">
        <v>2</v>
      </c>
      <c r="G38" s="327" t="s">
        <v>365</v>
      </c>
      <c r="H38" s="327" t="s">
        <v>444</v>
      </c>
      <c r="I38" s="327"/>
      <c r="J38" s="327"/>
      <c r="K38" s="322" t="str">
        <f t="shared" si="0"/>
        <v>直接行政サービス事業（間接型）</v>
      </c>
    </row>
    <row r="39" spans="1:11" ht="42" customHeight="1" x14ac:dyDescent="0.15">
      <c r="A39">
        <v>34</v>
      </c>
      <c r="B39" s="328" t="s">
        <v>102</v>
      </c>
      <c r="C39" s="327" t="s">
        <v>431</v>
      </c>
      <c r="D39" s="328" t="s">
        <v>338</v>
      </c>
      <c r="E39" s="328" t="s">
        <v>345</v>
      </c>
      <c r="F39" s="331">
        <v>2</v>
      </c>
      <c r="G39" s="327" t="s">
        <v>445</v>
      </c>
      <c r="H39" s="327" t="s">
        <v>446</v>
      </c>
      <c r="I39" s="327"/>
      <c r="J39" s="327"/>
      <c r="K39" s="322" t="str">
        <f t="shared" si="0"/>
        <v>直接行政サービス事業（間接型）</v>
      </c>
    </row>
    <row r="40" spans="1:11" ht="42" customHeight="1" x14ac:dyDescent="0.15">
      <c r="A40">
        <v>35</v>
      </c>
      <c r="B40" s="328" t="s">
        <v>102</v>
      </c>
      <c r="C40" s="327" t="s">
        <v>435</v>
      </c>
      <c r="D40" s="328" t="s">
        <v>338</v>
      </c>
      <c r="E40" s="328" t="s">
        <v>345</v>
      </c>
      <c r="F40" s="331">
        <v>2</v>
      </c>
      <c r="G40" s="327" t="s">
        <v>375</v>
      </c>
      <c r="H40" s="327"/>
      <c r="I40" s="327"/>
      <c r="J40" s="327"/>
      <c r="K40" s="322" t="str">
        <f t="shared" si="0"/>
        <v>直接行政サービス事業（間接型）</v>
      </c>
    </row>
    <row r="41" spans="1:11" ht="42" customHeight="1" x14ac:dyDescent="0.15">
      <c r="A41">
        <v>36</v>
      </c>
      <c r="B41" s="328" t="s">
        <v>102</v>
      </c>
      <c r="C41" s="327" t="s">
        <v>436</v>
      </c>
      <c r="D41" s="328" t="s">
        <v>338</v>
      </c>
      <c r="E41" s="328" t="s">
        <v>345</v>
      </c>
      <c r="F41" s="331">
        <v>2</v>
      </c>
      <c r="G41" s="327" t="s">
        <v>447</v>
      </c>
      <c r="H41" s="327"/>
      <c r="I41" s="327"/>
      <c r="J41" s="327"/>
      <c r="K41" s="322" t="str">
        <f t="shared" si="0"/>
        <v>直接行政サービス事業（間接型）</v>
      </c>
    </row>
    <row r="42" spans="1:11" ht="42" customHeight="1" x14ac:dyDescent="0.15">
      <c r="A42">
        <v>37</v>
      </c>
      <c r="B42" s="328" t="s">
        <v>102</v>
      </c>
      <c r="C42" s="327" t="s">
        <v>432</v>
      </c>
      <c r="D42" s="328" t="s">
        <v>338</v>
      </c>
      <c r="E42" s="328" t="s">
        <v>345</v>
      </c>
      <c r="F42" s="331">
        <v>2</v>
      </c>
      <c r="G42" s="327" t="s">
        <v>610</v>
      </c>
      <c r="H42" s="327"/>
      <c r="I42" s="327"/>
      <c r="J42" s="327"/>
      <c r="K42" s="322" t="str">
        <f t="shared" si="0"/>
        <v>直接行政サービス事業（間接型）</v>
      </c>
    </row>
    <row r="43" spans="1:11" ht="42" customHeight="1" x14ac:dyDescent="0.15">
      <c r="A43">
        <v>38</v>
      </c>
      <c r="B43" s="328" t="s">
        <v>102</v>
      </c>
      <c r="C43" s="327" t="s">
        <v>433</v>
      </c>
      <c r="D43" s="328" t="s">
        <v>338</v>
      </c>
      <c r="E43" s="328" t="s">
        <v>345</v>
      </c>
      <c r="F43" s="331">
        <v>4</v>
      </c>
      <c r="G43" s="327"/>
      <c r="H43" s="327"/>
      <c r="I43" s="327"/>
      <c r="J43" s="327"/>
      <c r="K43" s="322" t="str">
        <f t="shared" si="0"/>
        <v>直接行政サービス事業（間接型）</v>
      </c>
    </row>
    <row r="44" spans="1:11" ht="42" customHeight="1" x14ac:dyDescent="0.15">
      <c r="A44">
        <v>39</v>
      </c>
      <c r="B44" s="328" t="s">
        <v>102</v>
      </c>
      <c r="C44" s="327" t="s">
        <v>438</v>
      </c>
      <c r="D44" s="328" t="s">
        <v>338</v>
      </c>
      <c r="E44" s="328" t="s">
        <v>345</v>
      </c>
      <c r="F44" s="331">
        <v>8</v>
      </c>
      <c r="G44" s="327" t="s">
        <v>357</v>
      </c>
      <c r="H44" s="327" t="s">
        <v>368</v>
      </c>
      <c r="I44" s="327"/>
      <c r="J44" s="327"/>
      <c r="K44" s="322" t="str">
        <f t="shared" si="0"/>
        <v>直接行政サービス事業（間接型）</v>
      </c>
    </row>
    <row r="45" spans="1:11" ht="42" customHeight="1" x14ac:dyDescent="0.15">
      <c r="A45">
        <v>40</v>
      </c>
      <c r="B45" s="328" t="s">
        <v>102</v>
      </c>
      <c r="C45" s="327" t="s">
        <v>462</v>
      </c>
      <c r="D45" s="328" t="s">
        <v>338</v>
      </c>
      <c r="E45" s="328" t="s">
        <v>345</v>
      </c>
      <c r="F45" s="331">
        <v>8</v>
      </c>
      <c r="G45" s="327" t="s">
        <v>357</v>
      </c>
      <c r="H45" s="327" t="s">
        <v>368</v>
      </c>
      <c r="I45" s="327"/>
      <c r="J45" s="327"/>
      <c r="K45" s="322" t="str">
        <f t="shared" si="0"/>
        <v>直接行政サービス事業（間接型）</v>
      </c>
    </row>
    <row r="46" spans="1:11" ht="42" customHeight="1" x14ac:dyDescent="0.15">
      <c r="A46">
        <v>41</v>
      </c>
      <c r="B46" s="328" t="s">
        <v>102</v>
      </c>
      <c r="C46" s="327" t="s">
        <v>352</v>
      </c>
      <c r="D46" s="328" t="s">
        <v>338</v>
      </c>
      <c r="E46" s="328" t="s">
        <v>345</v>
      </c>
      <c r="F46" s="331">
        <v>12</v>
      </c>
      <c r="G46" s="327" t="s">
        <v>448</v>
      </c>
      <c r="H46" s="327" t="s">
        <v>449</v>
      </c>
      <c r="I46" s="327"/>
      <c r="J46" s="327"/>
      <c r="K46" s="322" t="str">
        <f t="shared" si="0"/>
        <v>直接行政サービス事業（間接型）</v>
      </c>
    </row>
    <row r="47" spans="1:11" ht="42" customHeight="1" x14ac:dyDescent="0.15">
      <c r="A47">
        <v>42</v>
      </c>
      <c r="B47" s="328" t="s">
        <v>102</v>
      </c>
      <c r="C47" s="327" t="s">
        <v>353</v>
      </c>
      <c r="D47" s="328" t="s">
        <v>338</v>
      </c>
      <c r="E47" s="328" t="s">
        <v>345</v>
      </c>
      <c r="F47" s="331">
        <v>12</v>
      </c>
      <c r="G47" s="327" t="s">
        <v>448</v>
      </c>
      <c r="H47" s="327" t="s">
        <v>367</v>
      </c>
      <c r="I47" s="327"/>
      <c r="J47" s="327"/>
      <c r="K47" s="322" t="str">
        <f t="shared" si="0"/>
        <v>直接行政サービス事業（間接型）</v>
      </c>
    </row>
    <row r="48" spans="1:11" ht="42" customHeight="1" x14ac:dyDescent="0.15">
      <c r="A48">
        <v>43</v>
      </c>
      <c r="B48" s="323" t="s">
        <v>102</v>
      </c>
      <c r="C48" s="324" t="s">
        <v>103</v>
      </c>
      <c r="D48" s="325" t="s">
        <v>87</v>
      </c>
      <c r="E48" s="326" t="s">
        <v>38</v>
      </c>
      <c r="F48" s="330">
        <v>5</v>
      </c>
      <c r="G48" s="327" t="s">
        <v>242</v>
      </c>
      <c r="H48" s="327"/>
      <c r="I48" s="327"/>
      <c r="J48" s="327"/>
      <c r="K48" s="322" t="str">
        <f t="shared" si="0"/>
        <v>資源配分事業（間接型）</v>
      </c>
    </row>
    <row r="49" spans="1:11" ht="42" customHeight="1" x14ac:dyDescent="0.15">
      <c r="A49">
        <v>44</v>
      </c>
      <c r="B49" s="323" t="s">
        <v>104</v>
      </c>
      <c r="C49" s="324" t="s">
        <v>105</v>
      </c>
      <c r="D49" s="325" t="s">
        <v>35</v>
      </c>
      <c r="E49" s="326" t="s">
        <v>36</v>
      </c>
      <c r="F49" s="330">
        <v>1</v>
      </c>
      <c r="G49" s="327" t="s">
        <v>243</v>
      </c>
      <c r="H49" s="327"/>
      <c r="I49" s="327"/>
      <c r="J49" s="327"/>
      <c r="K49" s="322" t="str">
        <f t="shared" si="0"/>
        <v>直接行政サービス事業（直接型）</v>
      </c>
    </row>
    <row r="50" spans="1:11" ht="42" customHeight="1" x14ac:dyDescent="0.15">
      <c r="A50">
        <v>45</v>
      </c>
      <c r="B50" s="328" t="s">
        <v>104</v>
      </c>
      <c r="C50" s="327" t="s">
        <v>351</v>
      </c>
      <c r="D50" s="328" t="s">
        <v>338</v>
      </c>
      <c r="E50" s="328" t="s">
        <v>339</v>
      </c>
      <c r="F50" s="328">
        <v>1</v>
      </c>
      <c r="G50" s="327" t="s">
        <v>485</v>
      </c>
      <c r="H50" s="327" t="s">
        <v>374</v>
      </c>
      <c r="I50" s="327"/>
      <c r="J50" s="327"/>
      <c r="K50" s="322" t="str">
        <f t="shared" si="0"/>
        <v>直接行政サービス事業（直接型）</v>
      </c>
    </row>
    <row r="51" spans="1:11" ht="42" customHeight="1" x14ac:dyDescent="0.15">
      <c r="A51">
        <v>46</v>
      </c>
      <c r="B51" s="323" t="s">
        <v>104</v>
      </c>
      <c r="C51" s="324" t="s">
        <v>225</v>
      </c>
      <c r="D51" s="325" t="s">
        <v>35</v>
      </c>
      <c r="E51" s="326" t="s">
        <v>36</v>
      </c>
      <c r="F51" s="326">
        <v>7</v>
      </c>
      <c r="G51" s="327" t="s">
        <v>244</v>
      </c>
      <c r="H51" s="327"/>
      <c r="I51" s="327"/>
      <c r="J51" s="327"/>
      <c r="K51" s="322" t="str">
        <f t="shared" si="0"/>
        <v>直接行政サービス事業（直接型）</v>
      </c>
    </row>
    <row r="52" spans="1:11" ht="42" customHeight="1" x14ac:dyDescent="0.15">
      <c r="A52">
        <v>47</v>
      </c>
      <c r="B52" s="323" t="s">
        <v>104</v>
      </c>
      <c r="C52" s="324" t="s">
        <v>193</v>
      </c>
      <c r="D52" s="325" t="s">
        <v>35</v>
      </c>
      <c r="E52" s="326" t="s">
        <v>38</v>
      </c>
      <c r="F52" s="326">
        <v>1</v>
      </c>
      <c r="G52" s="327" t="s">
        <v>245</v>
      </c>
      <c r="H52" s="327"/>
      <c r="I52" s="327"/>
      <c r="J52" s="327"/>
      <c r="K52" s="322" t="str">
        <f t="shared" si="0"/>
        <v>直接行政サービス事業（間接型）</v>
      </c>
    </row>
    <row r="53" spans="1:11" ht="42" customHeight="1" x14ac:dyDescent="0.15">
      <c r="A53">
        <v>48</v>
      </c>
      <c r="B53" s="323" t="s">
        <v>104</v>
      </c>
      <c r="C53" s="324" t="s">
        <v>108</v>
      </c>
      <c r="D53" s="325" t="s">
        <v>35</v>
      </c>
      <c r="E53" s="326" t="s">
        <v>38</v>
      </c>
      <c r="F53" s="326">
        <v>1</v>
      </c>
      <c r="G53" s="327" t="s">
        <v>246</v>
      </c>
      <c r="H53" s="327"/>
      <c r="I53" s="327"/>
      <c r="J53" s="327"/>
      <c r="K53" s="322" t="str">
        <f t="shared" si="0"/>
        <v>直接行政サービス事業（間接型）</v>
      </c>
    </row>
    <row r="54" spans="1:11" ht="42" customHeight="1" x14ac:dyDescent="0.15">
      <c r="A54">
        <v>49</v>
      </c>
      <c r="B54" s="323" t="s">
        <v>104</v>
      </c>
      <c r="C54" s="324" t="s">
        <v>106</v>
      </c>
      <c r="D54" s="325" t="s">
        <v>87</v>
      </c>
      <c r="E54" s="326" t="s">
        <v>36</v>
      </c>
      <c r="F54" s="326">
        <v>3</v>
      </c>
      <c r="G54" s="327" t="s">
        <v>247</v>
      </c>
      <c r="H54" s="327"/>
      <c r="I54" s="327"/>
      <c r="J54" s="327"/>
      <c r="K54" s="322" t="str">
        <f t="shared" si="0"/>
        <v>資源配分事業（直接型）</v>
      </c>
    </row>
    <row r="55" spans="1:11" ht="42" customHeight="1" x14ac:dyDescent="0.15">
      <c r="A55">
        <v>50</v>
      </c>
      <c r="B55" s="323" t="s">
        <v>104</v>
      </c>
      <c r="C55" s="324" t="s">
        <v>107</v>
      </c>
      <c r="D55" s="325" t="s">
        <v>87</v>
      </c>
      <c r="E55" s="326" t="s">
        <v>36</v>
      </c>
      <c r="F55" s="326">
        <v>5</v>
      </c>
      <c r="G55" s="327" t="s">
        <v>248</v>
      </c>
      <c r="H55" s="327"/>
      <c r="I55" s="327"/>
      <c r="J55" s="327"/>
      <c r="K55" s="322" t="str">
        <f t="shared" si="0"/>
        <v>資源配分事業（直接型）</v>
      </c>
    </row>
    <row r="56" spans="1:11" ht="42" customHeight="1" x14ac:dyDescent="0.15">
      <c r="A56">
        <v>51</v>
      </c>
      <c r="B56" s="328" t="s">
        <v>104</v>
      </c>
      <c r="C56" s="327" t="s">
        <v>192</v>
      </c>
      <c r="D56" s="328" t="s">
        <v>87</v>
      </c>
      <c r="E56" s="328" t="s">
        <v>36</v>
      </c>
      <c r="F56" s="328">
        <v>9</v>
      </c>
      <c r="G56" s="327" t="s">
        <v>249</v>
      </c>
      <c r="H56" s="327"/>
      <c r="I56" s="327"/>
      <c r="J56" s="327"/>
      <c r="K56" s="322" t="str">
        <f t="shared" si="0"/>
        <v>資源配分事業（直接型）</v>
      </c>
    </row>
    <row r="57" spans="1:11" ht="42" customHeight="1" x14ac:dyDescent="0.15">
      <c r="A57">
        <v>52</v>
      </c>
      <c r="B57" s="323" t="s">
        <v>109</v>
      </c>
      <c r="C57" s="324" t="s">
        <v>194</v>
      </c>
      <c r="D57" s="325" t="s">
        <v>35</v>
      </c>
      <c r="E57" s="326" t="s">
        <v>36</v>
      </c>
      <c r="F57" s="326">
        <v>1</v>
      </c>
      <c r="G57" s="327" t="s">
        <v>511</v>
      </c>
      <c r="H57" s="327"/>
      <c r="I57" s="327"/>
      <c r="J57" s="327"/>
      <c r="K57" s="322" t="str">
        <f t="shared" si="0"/>
        <v>直接行政サービス事業（直接型）</v>
      </c>
    </row>
    <row r="58" spans="1:11" ht="42" customHeight="1" x14ac:dyDescent="0.15">
      <c r="A58">
        <v>53</v>
      </c>
      <c r="B58" s="323" t="s">
        <v>109</v>
      </c>
      <c r="C58" s="324" t="s">
        <v>195</v>
      </c>
      <c r="D58" s="325" t="s">
        <v>35</v>
      </c>
      <c r="E58" s="326" t="s">
        <v>36</v>
      </c>
      <c r="F58" s="326">
        <v>1</v>
      </c>
      <c r="G58" s="327" t="s">
        <v>250</v>
      </c>
      <c r="H58" s="327"/>
      <c r="I58" s="327"/>
      <c r="J58" s="327"/>
      <c r="K58" s="322" t="str">
        <f t="shared" si="0"/>
        <v>直接行政サービス事業（直接型）</v>
      </c>
    </row>
    <row r="59" spans="1:11" ht="42" customHeight="1" x14ac:dyDescent="0.15">
      <c r="A59">
        <v>54</v>
      </c>
      <c r="B59" s="328" t="s">
        <v>109</v>
      </c>
      <c r="C59" s="327" t="s">
        <v>350</v>
      </c>
      <c r="D59" s="328" t="s">
        <v>338</v>
      </c>
      <c r="E59" s="328" t="s">
        <v>339</v>
      </c>
      <c r="F59" s="328">
        <v>5</v>
      </c>
      <c r="G59" s="327" t="s">
        <v>513</v>
      </c>
      <c r="H59" s="327"/>
      <c r="I59" s="327"/>
      <c r="J59" s="327"/>
      <c r="K59" s="322" t="str">
        <f t="shared" si="0"/>
        <v>直接行政サービス事業（直接型）</v>
      </c>
    </row>
    <row r="60" spans="1:11" ht="42" customHeight="1" x14ac:dyDescent="0.15">
      <c r="A60">
        <v>55</v>
      </c>
      <c r="B60" s="328" t="s">
        <v>109</v>
      </c>
      <c r="C60" s="327" t="s">
        <v>349</v>
      </c>
      <c r="D60" s="328" t="s">
        <v>338</v>
      </c>
      <c r="E60" s="328" t="s">
        <v>339</v>
      </c>
      <c r="F60" s="604" t="s">
        <v>479</v>
      </c>
      <c r="G60" s="327" t="s">
        <v>450</v>
      </c>
      <c r="H60" s="327"/>
      <c r="I60" s="327"/>
      <c r="J60" s="327"/>
      <c r="K60" s="322" t="str">
        <f t="shared" si="0"/>
        <v>直接行政サービス事業（直接型）</v>
      </c>
    </row>
    <row r="61" spans="1:11" ht="42" customHeight="1" x14ac:dyDescent="0.15">
      <c r="A61">
        <v>56</v>
      </c>
      <c r="B61" s="328" t="s">
        <v>109</v>
      </c>
      <c r="C61" s="327" t="s">
        <v>484</v>
      </c>
      <c r="D61" s="328" t="s">
        <v>338</v>
      </c>
      <c r="E61" s="328" t="s">
        <v>481</v>
      </c>
      <c r="F61" s="328">
        <v>1</v>
      </c>
      <c r="G61" s="327" t="s">
        <v>371</v>
      </c>
      <c r="H61" s="327" t="s">
        <v>468</v>
      </c>
      <c r="I61" s="327" t="s">
        <v>372</v>
      </c>
      <c r="J61" s="327"/>
      <c r="K61" s="322" t="str">
        <f t="shared" si="0"/>
        <v>直接行政サービス事業（間接型）</v>
      </c>
    </row>
    <row r="62" spans="1:11" ht="42" customHeight="1" x14ac:dyDescent="0.15">
      <c r="A62">
        <v>57</v>
      </c>
      <c r="B62" s="328" t="s">
        <v>109</v>
      </c>
      <c r="C62" s="327" t="s">
        <v>442</v>
      </c>
      <c r="D62" s="328" t="s">
        <v>338</v>
      </c>
      <c r="E62" s="328" t="s">
        <v>481</v>
      </c>
      <c r="F62" s="328">
        <v>2</v>
      </c>
      <c r="G62" s="327" t="s">
        <v>369</v>
      </c>
      <c r="H62" s="327"/>
      <c r="I62" s="327"/>
      <c r="J62" s="327"/>
      <c r="K62" s="322" t="str">
        <f t="shared" si="0"/>
        <v>直接行政サービス事業（間接型）</v>
      </c>
    </row>
    <row r="63" spans="1:11" ht="42" customHeight="1" x14ac:dyDescent="0.15">
      <c r="A63">
        <v>58</v>
      </c>
      <c r="B63" s="328" t="s">
        <v>109</v>
      </c>
      <c r="C63" s="327" t="s">
        <v>380</v>
      </c>
      <c r="D63" s="328" t="s">
        <v>346</v>
      </c>
      <c r="E63" s="328" t="s">
        <v>339</v>
      </c>
      <c r="F63" s="328">
        <v>1</v>
      </c>
      <c r="G63" s="327" t="s">
        <v>370</v>
      </c>
      <c r="H63" s="327"/>
      <c r="I63" s="327"/>
      <c r="J63" s="327"/>
      <c r="K63" s="322" t="str">
        <f t="shared" si="0"/>
        <v>資源配分事業（直接型）</v>
      </c>
    </row>
    <row r="64" spans="1:11" ht="42" customHeight="1" x14ac:dyDescent="0.15">
      <c r="A64">
        <v>59</v>
      </c>
      <c r="B64" s="328" t="s">
        <v>110</v>
      </c>
      <c r="C64" s="327" t="s">
        <v>475</v>
      </c>
      <c r="D64" s="328" t="s">
        <v>338</v>
      </c>
      <c r="E64" s="328" t="s">
        <v>339</v>
      </c>
      <c r="F64" s="328">
        <v>1</v>
      </c>
      <c r="G64" s="327" t="s">
        <v>359</v>
      </c>
      <c r="H64" s="327"/>
      <c r="I64" s="327"/>
      <c r="J64" s="327"/>
      <c r="K64" s="322" t="str">
        <f t="shared" si="0"/>
        <v>直接行政サービス事業（直接型）</v>
      </c>
    </row>
    <row r="65" spans="1:11" ht="42" customHeight="1" x14ac:dyDescent="0.15">
      <c r="A65">
        <v>60</v>
      </c>
      <c r="B65" s="323" t="s">
        <v>110</v>
      </c>
      <c r="C65" s="324" t="s">
        <v>111</v>
      </c>
      <c r="D65" s="325" t="s">
        <v>35</v>
      </c>
      <c r="E65" s="326" t="s">
        <v>36</v>
      </c>
      <c r="F65" s="326">
        <v>1</v>
      </c>
      <c r="G65" s="327" t="s">
        <v>251</v>
      </c>
      <c r="H65" s="327"/>
      <c r="I65" s="327"/>
      <c r="J65" s="327"/>
      <c r="K65" s="322" t="str">
        <f t="shared" si="0"/>
        <v>直接行政サービス事業（直接型）</v>
      </c>
    </row>
    <row r="66" spans="1:11" ht="42" customHeight="1" x14ac:dyDescent="0.15">
      <c r="A66">
        <v>61</v>
      </c>
      <c r="B66" s="328" t="s">
        <v>110</v>
      </c>
      <c r="C66" s="327" t="s">
        <v>483</v>
      </c>
      <c r="D66" s="328" t="s">
        <v>346</v>
      </c>
      <c r="E66" s="328" t="s">
        <v>481</v>
      </c>
      <c r="F66" s="328">
        <v>5</v>
      </c>
      <c r="G66" s="327" t="s">
        <v>254</v>
      </c>
      <c r="H66" s="327"/>
      <c r="I66" s="327"/>
      <c r="J66" s="327"/>
      <c r="K66" s="322" t="str">
        <f t="shared" si="0"/>
        <v>資源配分事業（間接型）</v>
      </c>
    </row>
    <row r="67" spans="1:11" ht="42" customHeight="1" x14ac:dyDescent="0.15">
      <c r="A67">
        <v>62</v>
      </c>
      <c r="B67" s="328" t="s">
        <v>110</v>
      </c>
      <c r="C67" s="327" t="s">
        <v>347</v>
      </c>
      <c r="D67" s="328" t="s">
        <v>346</v>
      </c>
      <c r="E67" s="328" t="s">
        <v>481</v>
      </c>
      <c r="F67" s="328">
        <v>6</v>
      </c>
      <c r="G67" s="327" t="s">
        <v>254</v>
      </c>
      <c r="H67" s="327"/>
      <c r="I67" s="327"/>
      <c r="J67" s="327"/>
      <c r="K67" s="322" t="str">
        <f t="shared" si="0"/>
        <v>資源配分事業（間接型）</v>
      </c>
    </row>
    <row r="68" spans="1:11" ht="42" customHeight="1" x14ac:dyDescent="0.15">
      <c r="A68">
        <v>63</v>
      </c>
      <c r="B68" s="323" t="s">
        <v>110</v>
      </c>
      <c r="C68" s="324" t="s">
        <v>196</v>
      </c>
      <c r="D68" s="325" t="s">
        <v>87</v>
      </c>
      <c r="E68" s="326" t="s">
        <v>38</v>
      </c>
      <c r="F68" s="326">
        <v>6</v>
      </c>
      <c r="G68" s="327" t="s">
        <v>252</v>
      </c>
      <c r="H68" s="327" t="s">
        <v>253</v>
      </c>
      <c r="I68" s="327"/>
      <c r="J68" s="327"/>
      <c r="K68" s="322" t="str">
        <f t="shared" si="0"/>
        <v>資源配分事業（間接型）</v>
      </c>
    </row>
    <row r="69" spans="1:11" ht="42" customHeight="1" x14ac:dyDescent="0.15">
      <c r="A69">
        <v>64</v>
      </c>
      <c r="B69" s="328" t="s">
        <v>110</v>
      </c>
      <c r="C69" s="327" t="s">
        <v>348</v>
      </c>
      <c r="D69" s="328" t="s">
        <v>346</v>
      </c>
      <c r="E69" s="328" t="s">
        <v>481</v>
      </c>
      <c r="F69" s="328">
        <v>6</v>
      </c>
      <c r="G69" s="327" t="s">
        <v>254</v>
      </c>
      <c r="H69" s="327" t="s">
        <v>383</v>
      </c>
      <c r="I69" s="327"/>
      <c r="J69" s="327"/>
      <c r="K69" s="322" t="str">
        <f t="shared" si="0"/>
        <v>資源配分事業（間接型）</v>
      </c>
    </row>
    <row r="70" spans="1:11" ht="42" customHeight="1" x14ac:dyDescent="0.15">
      <c r="A70">
        <v>65</v>
      </c>
      <c r="B70" s="323" t="s">
        <v>110</v>
      </c>
      <c r="C70" s="324" t="s">
        <v>441</v>
      </c>
      <c r="D70" s="323" t="s">
        <v>87</v>
      </c>
      <c r="E70" s="330" t="s">
        <v>38</v>
      </c>
      <c r="F70" s="330">
        <v>6</v>
      </c>
      <c r="G70" s="324" t="s">
        <v>254</v>
      </c>
      <c r="H70" s="324"/>
      <c r="I70" s="324"/>
      <c r="J70" s="324"/>
      <c r="K70" s="322" t="str">
        <f t="shared" si="0"/>
        <v>資源配分事業（間接型）</v>
      </c>
    </row>
    <row r="71" spans="1:11" ht="42" customHeight="1" x14ac:dyDescent="0.15">
      <c r="A71">
        <v>66</v>
      </c>
      <c r="B71" s="328" t="s">
        <v>112</v>
      </c>
      <c r="C71" s="327" t="s">
        <v>343</v>
      </c>
      <c r="D71" s="328" t="s">
        <v>338</v>
      </c>
      <c r="E71" s="328" t="s">
        <v>339</v>
      </c>
      <c r="F71" s="329" t="s">
        <v>482</v>
      </c>
      <c r="G71" s="327" t="s">
        <v>373</v>
      </c>
      <c r="H71" s="327" t="s">
        <v>476</v>
      </c>
      <c r="I71" s="327"/>
      <c r="J71" s="327"/>
      <c r="K71" s="322" t="str">
        <f t="shared" ref="K71:K86" si="2">CONCATENATE(D71,"（",E71,"）")</f>
        <v>直接行政サービス事業（直接型）</v>
      </c>
    </row>
    <row r="72" spans="1:11" ht="42" customHeight="1" x14ac:dyDescent="0.15">
      <c r="A72">
        <v>67</v>
      </c>
      <c r="B72" s="323" t="s">
        <v>112</v>
      </c>
      <c r="C72" s="324" t="s">
        <v>260</v>
      </c>
      <c r="D72" s="323" t="s">
        <v>35</v>
      </c>
      <c r="E72" s="330" t="s">
        <v>36</v>
      </c>
      <c r="F72" s="330">
        <v>4</v>
      </c>
      <c r="G72" s="324" t="s">
        <v>255</v>
      </c>
      <c r="H72" s="324" t="s">
        <v>256</v>
      </c>
      <c r="I72" s="324"/>
      <c r="J72" s="324"/>
      <c r="K72" s="322" t="str">
        <f t="shared" si="2"/>
        <v>直接行政サービス事業（直接型）</v>
      </c>
    </row>
    <row r="73" spans="1:11" ht="42" customHeight="1" x14ac:dyDescent="0.15">
      <c r="A73">
        <v>68</v>
      </c>
      <c r="B73" s="323" t="s">
        <v>112</v>
      </c>
      <c r="C73" s="324" t="s">
        <v>261</v>
      </c>
      <c r="D73" s="323" t="s">
        <v>35</v>
      </c>
      <c r="E73" s="330" t="s">
        <v>36</v>
      </c>
      <c r="F73" s="330">
        <v>4</v>
      </c>
      <c r="G73" s="324" t="s">
        <v>255</v>
      </c>
      <c r="H73" s="324"/>
      <c r="I73" s="324"/>
      <c r="J73" s="324"/>
      <c r="K73" s="322"/>
    </row>
    <row r="74" spans="1:11" ht="42" customHeight="1" x14ac:dyDescent="0.15">
      <c r="A74">
        <v>69</v>
      </c>
      <c r="B74" s="323" t="s">
        <v>112</v>
      </c>
      <c r="C74" s="324" t="s">
        <v>227</v>
      </c>
      <c r="D74" s="323" t="s">
        <v>35</v>
      </c>
      <c r="E74" s="330" t="s">
        <v>36</v>
      </c>
      <c r="F74" s="330">
        <v>4</v>
      </c>
      <c r="G74" s="324" t="s">
        <v>256</v>
      </c>
      <c r="H74" s="324"/>
      <c r="I74" s="324"/>
      <c r="J74" s="324"/>
      <c r="K74" s="322"/>
    </row>
    <row r="75" spans="1:11" ht="42" customHeight="1" x14ac:dyDescent="0.15">
      <c r="A75">
        <v>70</v>
      </c>
      <c r="B75" s="323" t="s">
        <v>112</v>
      </c>
      <c r="C75" s="324" t="s">
        <v>113</v>
      </c>
      <c r="D75" s="328" t="s">
        <v>35</v>
      </c>
      <c r="E75" s="328" t="s">
        <v>36</v>
      </c>
      <c r="F75" s="328">
        <v>4</v>
      </c>
      <c r="G75" s="327" t="s">
        <v>231</v>
      </c>
      <c r="H75" s="327" t="s">
        <v>257</v>
      </c>
      <c r="I75" s="327"/>
      <c r="J75" s="327"/>
      <c r="K75" s="322" t="str">
        <f t="shared" si="2"/>
        <v>直接行政サービス事業（直接型）</v>
      </c>
    </row>
    <row r="76" spans="1:11" ht="42" customHeight="1" x14ac:dyDescent="0.15">
      <c r="A76">
        <v>71</v>
      </c>
      <c r="B76" s="328" t="s">
        <v>112</v>
      </c>
      <c r="C76" s="327" t="s">
        <v>342</v>
      </c>
      <c r="D76" s="328" t="s">
        <v>338</v>
      </c>
      <c r="E76" s="328" t="s">
        <v>339</v>
      </c>
      <c r="F76" s="328">
        <v>9</v>
      </c>
      <c r="G76" s="327" t="s">
        <v>450</v>
      </c>
      <c r="H76" s="327"/>
      <c r="I76" s="327"/>
      <c r="J76" s="327"/>
      <c r="K76" s="541" t="str">
        <f t="shared" si="2"/>
        <v>直接行政サービス事業（直接型）</v>
      </c>
    </row>
    <row r="77" spans="1:11" ht="42" customHeight="1" x14ac:dyDescent="0.15">
      <c r="A77">
        <v>72</v>
      </c>
      <c r="B77" s="328" t="s">
        <v>112</v>
      </c>
      <c r="C77" s="327" t="s">
        <v>344</v>
      </c>
      <c r="D77" s="328" t="s">
        <v>338</v>
      </c>
      <c r="E77" s="328" t="s">
        <v>481</v>
      </c>
      <c r="F77" s="328">
        <v>5</v>
      </c>
      <c r="G77" s="327" t="s">
        <v>451</v>
      </c>
      <c r="H77" s="327"/>
      <c r="I77" s="327"/>
      <c r="J77" s="327"/>
      <c r="K77" s="541" t="str">
        <f t="shared" si="2"/>
        <v>直接行政サービス事業（間接型）</v>
      </c>
    </row>
    <row r="78" spans="1:11" ht="42" customHeight="1" x14ac:dyDescent="0.15">
      <c r="A78">
        <v>73</v>
      </c>
      <c r="B78" s="323" t="s">
        <v>112</v>
      </c>
      <c r="C78" s="324" t="s">
        <v>197</v>
      </c>
      <c r="D78" s="328" t="s">
        <v>35</v>
      </c>
      <c r="E78" s="328" t="s">
        <v>38</v>
      </c>
      <c r="F78" s="328">
        <v>9</v>
      </c>
      <c r="G78" s="327" t="s">
        <v>262</v>
      </c>
      <c r="H78" s="327" t="s">
        <v>258</v>
      </c>
      <c r="I78" s="327"/>
      <c r="J78" s="327"/>
      <c r="K78" s="541" t="str">
        <f t="shared" si="2"/>
        <v>直接行政サービス事業（間接型）</v>
      </c>
    </row>
    <row r="79" spans="1:11" ht="42" customHeight="1" x14ac:dyDescent="0.15">
      <c r="A79">
        <v>74</v>
      </c>
      <c r="B79" s="328" t="s">
        <v>114</v>
      </c>
      <c r="C79" s="327" t="s">
        <v>340</v>
      </c>
      <c r="D79" s="328" t="s">
        <v>338</v>
      </c>
      <c r="E79" s="328" t="s">
        <v>339</v>
      </c>
      <c r="F79" s="328">
        <v>1</v>
      </c>
      <c r="G79" s="327" t="s">
        <v>259</v>
      </c>
      <c r="H79" s="327"/>
      <c r="I79" s="327"/>
      <c r="J79" s="327"/>
      <c r="K79" s="541" t="str">
        <f t="shared" si="2"/>
        <v>直接行政サービス事業（直接型）</v>
      </c>
    </row>
    <row r="80" spans="1:11" ht="42" customHeight="1" x14ac:dyDescent="0.15">
      <c r="A80">
        <v>75</v>
      </c>
      <c r="B80" s="328" t="s">
        <v>114</v>
      </c>
      <c r="C80" s="327" t="s">
        <v>439</v>
      </c>
      <c r="D80" s="328" t="s">
        <v>338</v>
      </c>
      <c r="E80" s="328" t="s">
        <v>339</v>
      </c>
      <c r="F80" s="328">
        <v>2</v>
      </c>
      <c r="G80" s="327" t="s">
        <v>375</v>
      </c>
      <c r="H80" s="327"/>
      <c r="I80" s="327"/>
      <c r="J80" s="327"/>
      <c r="K80" s="541" t="str">
        <f t="shared" si="2"/>
        <v>直接行政サービス事業（直接型）</v>
      </c>
    </row>
    <row r="81" spans="1:11" ht="42" customHeight="1" x14ac:dyDescent="0.15">
      <c r="A81">
        <v>76</v>
      </c>
      <c r="B81" s="328" t="s">
        <v>114</v>
      </c>
      <c r="C81" s="327" t="s">
        <v>341</v>
      </c>
      <c r="D81" s="328" t="s">
        <v>338</v>
      </c>
      <c r="E81" s="328" t="s">
        <v>339</v>
      </c>
      <c r="F81" s="328">
        <v>3</v>
      </c>
      <c r="G81" s="327" t="s">
        <v>450</v>
      </c>
      <c r="H81" s="327"/>
      <c r="I81" s="327"/>
      <c r="J81" s="327"/>
      <c r="K81" s="541" t="str">
        <f t="shared" si="2"/>
        <v>直接行政サービス事業（直接型）</v>
      </c>
    </row>
    <row r="82" spans="1:11" ht="42" customHeight="1" x14ac:dyDescent="0.15">
      <c r="A82">
        <v>77</v>
      </c>
      <c r="B82" s="331" t="s">
        <v>114</v>
      </c>
      <c r="C82" s="324" t="s">
        <v>116</v>
      </c>
      <c r="D82" s="328" t="s">
        <v>35</v>
      </c>
      <c r="E82" s="328" t="s">
        <v>36</v>
      </c>
      <c r="F82" s="328">
        <v>14</v>
      </c>
      <c r="G82" s="327" t="s">
        <v>241</v>
      </c>
      <c r="H82" s="327"/>
      <c r="I82" s="327"/>
      <c r="J82" s="327"/>
      <c r="K82" s="541" t="str">
        <f t="shared" si="2"/>
        <v>直接行政サービス事業（直接型）</v>
      </c>
    </row>
    <row r="83" spans="1:11" ht="42" customHeight="1" x14ac:dyDescent="0.15">
      <c r="A83">
        <v>78</v>
      </c>
      <c r="B83" s="331" t="s">
        <v>114</v>
      </c>
      <c r="C83" s="324" t="s">
        <v>115</v>
      </c>
      <c r="D83" s="328" t="s">
        <v>87</v>
      </c>
      <c r="E83" s="328" t="s">
        <v>38</v>
      </c>
      <c r="F83" s="329" t="s">
        <v>480</v>
      </c>
      <c r="G83" s="327" t="s">
        <v>259</v>
      </c>
      <c r="H83" s="327"/>
      <c r="I83" s="327"/>
      <c r="J83" s="327"/>
      <c r="K83" s="541" t="str">
        <f t="shared" si="2"/>
        <v>資源配分事業（間接型）</v>
      </c>
    </row>
    <row r="84" spans="1:11" ht="42" customHeight="1" x14ac:dyDescent="0.15">
      <c r="A84">
        <v>79</v>
      </c>
      <c r="B84" s="328" t="s">
        <v>117</v>
      </c>
      <c r="C84" s="327" t="s">
        <v>336</v>
      </c>
      <c r="D84" s="328" t="s">
        <v>338</v>
      </c>
      <c r="E84" s="328" t="s">
        <v>339</v>
      </c>
      <c r="F84" s="328">
        <v>4</v>
      </c>
      <c r="G84" s="327" t="s">
        <v>376</v>
      </c>
      <c r="H84" s="327"/>
      <c r="I84" s="327"/>
      <c r="J84" s="327"/>
      <c r="K84" s="541" t="str">
        <f t="shared" si="2"/>
        <v>直接行政サービス事業（直接型）</v>
      </c>
    </row>
    <row r="85" spans="1:11" ht="42" customHeight="1" x14ac:dyDescent="0.15">
      <c r="A85">
        <v>80</v>
      </c>
      <c r="B85" s="328" t="s">
        <v>117</v>
      </c>
      <c r="C85" s="327" t="s">
        <v>335</v>
      </c>
      <c r="D85" s="328" t="s">
        <v>338</v>
      </c>
      <c r="E85" s="328" t="s">
        <v>339</v>
      </c>
      <c r="F85" s="328">
        <v>4</v>
      </c>
      <c r="G85" s="327" t="s">
        <v>376</v>
      </c>
      <c r="H85" s="327"/>
      <c r="I85" s="327"/>
      <c r="J85" s="327"/>
      <c r="K85" s="541" t="str">
        <f t="shared" si="2"/>
        <v>直接行政サービス事業（直接型）</v>
      </c>
    </row>
    <row r="86" spans="1:11" ht="42" customHeight="1" x14ac:dyDescent="0.15">
      <c r="A86">
        <v>81</v>
      </c>
      <c r="B86" s="328" t="s">
        <v>117</v>
      </c>
      <c r="C86" s="327" t="s">
        <v>337</v>
      </c>
      <c r="D86" s="328" t="s">
        <v>338</v>
      </c>
      <c r="E86" s="328" t="s">
        <v>339</v>
      </c>
      <c r="F86" s="604" t="s">
        <v>479</v>
      </c>
      <c r="G86" s="327" t="s">
        <v>452</v>
      </c>
      <c r="H86" s="327"/>
      <c r="I86" s="327"/>
      <c r="J86" s="327"/>
      <c r="K86" s="541" t="str">
        <f t="shared" si="2"/>
        <v>直接行政サービス事業（直接型）</v>
      </c>
    </row>
  </sheetData>
  <sortState ref="A3:J69">
    <sortCondition ref="A3:A69"/>
  </sortState>
  <mergeCells count="10">
    <mergeCell ref="G2:G4"/>
    <mergeCell ref="H2:H4"/>
    <mergeCell ref="I2:I4"/>
    <mergeCell ref="J2:J4"/>
    <mergeCell ref="K2:K4"/>
    <mergeCell ref="B2:B4"/>
    <mergeCell ref="C2:C4"/>
    <mergeCell ref="D2:D4"/>
    <mergeCell ref="E2:E4"/>
    <mergeCell ref="F2:F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55" zoomScaleNormal="85" zoomScaleSheetLayoutView="55" workbookViewId="0">
      <pane xSplit="3" ySplit="5" topLeftCell="T6" activePane="bottomRight" state="frozen"/>
      <selection activeCell="C72" sqref="C72:F73"/>
      <selection pane="topRight" activeCell="C72" sqref="C72:F73"/>
      <selection pane="bottomLeft" activeCell="C72" sqref="C72:F73"/>
      <selection pane="bottomRight" activeCell="A2" sqref="A2:XFD2"/>
    </sheetView>
  </sheetViews>
  <sheetFormatPr defaultRowHeight="23.25" customHeight="1"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15.5" customWidth="1"/>
    <col min="42" max="43" width="15.375" customWidth="1"/>
    <col min="44" max="44" width="32.375" customWidth="1"/>
  </cols>
  <sheetData>
    <row r="1" spans="1:44" ht="13.5" customHeight="1" x14ac:dyDescent="0.15">
      <c r="B1" t="s">
        <v>41</v>
      </c>
      <c r="E1" s="2"/>
      <c r="G1" s="2"/>
      <c r="I1" s="2"/>
      <c r="K1" s="2"/>
      <c r="M1" s="2"/>
      <c r="O1" s="2"/>
      <c r="Q1" s="2"/>
      <c r="S1" s="2"/>
      <c r="U1" s="2"/>
      <c r="W1" s="2"/>
      <c r="Y1" s="2"/>
      <c r="AA1" s="2"/>
      <c r="AC1" s="2"/>
      <c r="AE1" s="2"/>
      <c r="AG1" s="2"/>
      <c r="AI1" s="2"/>
      <c r="AK1" s="2"/>
      <c r="AM1" s="2"/>
      <c r="AO1" s="2"/>
      <c r="AQ1" s="2"/>
    </row>
    <row r="2" spans="1:44" ht="14.25" customHeight="1" x14ac:dyDescent="0.15">
      <c r="C2" s="272"/>
      <c r="D2" s="28"/>
      <c r="E2" s="28"/>
      <c r="F2" s="273" t="s">
        <v>26</v>
      </c>
      <c r="G2" s="273" t="s">
        <v>26</v>
      </c>
      <c r="H2" s="273" t="s">
        <v>26</v>
      </c>
      <c r="I2" s="273" t="s">
        <v>26</v>
      </c>
      <c r="J2" s="273" t="s">
        <v>27</v>
      </c>
      <c r="K2" s="273" t="s">
        <v>26</v>
      </c>
      <c r="L2" s="273"/>
      <c r="M2" s="273"/>
      <c r="N2" s="273"/>
      <c r="O2" s="273"/>
      <c r="P2" s="273" t="s">
        <v>26</v>
      </c>
      <c r="Q2" s="273" t="s">
        <v>26</v>
      </c>
      <c r="R2" s="273" t="s">
        <v>26</v>
      </c>
      <c r="S2" s="273" t="s">
        <v>26</v>
      </c>
      <c r="T2" s="273"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301</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49" t="s">
        <v>3</v>
      </c>
      <c r="H4" s="549" t="s">
        <v>309</v>
      </c>
      <c r="I4" s="275" t="s">
        <v>5</v>
      </c>
      <c r="J4" s="276" t="s">
        <v>1</v>
      </c>
      <c r="K4" s="277" t="s">
        <v>310</v>
      </c>
      <c r="L4" s="549" t="s">
        <v>311</v>
      </c>
      <c r="M4" s="549" t="s">
        <v>312</v>
      </c>
      <c r="N4" s="549" t="s">
        <v>83</v>
      </c>
      <c r="O4" s="549" t="s">
        <v>84</v>
      </c>
      <c r="P4" s="550" t="s">
        <v>313</v>
      </c>
      <c r="Q4" s="550" t="s">
        <v>7</v>
      </c>
      <c r="R4" s="550" t="s">
        <v>314</v>
      </c>
      <c r="S4" s="549" t="s">
        <v>9</v>
      </c>
      <c r="T4" s="540" t="s">
        <v>498</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48"/>
      <c r="C5" s="112">
        <v>1</v>
      </c>
      <c r="D5" s="548">
        <v>2</v>
      </c>
      <c r="E5" s="112">
        <v>3</v>
      </c>
      <c r="F5" s="112">
        <v>4</v>
      </c>
      <c r="G5" s="548">
        <v>5</v>
      </c>
      <c r="H5" s="112">
        <v>6</v>
      </c>
      <c r="I5" s="278">
        <v>7</v>
      </c>
      <c r="J5" s="279">
        <v>8</v>
      </c>
      <c r="K5" s="198" t="s">
        <v>316</v>
      </c>
      <c r="L5" s="112">
        <v>10</v>
      </c>
      <c r="M5" s="548">
        <v>11</v>
      </c>
      <c r="N5" s="112">
        <v>12</v>
      </c>
      <c r="O5" s="112">
        <v>13</v>
      </c>
      <c r="P5" s="548" t="s">
        <v>317</v>
      </c>
      <c r="Q5" s="112">
        <v>15</v>
      </c>
      <c r="R5" s="112" t="s">
        <v>318</v>
      </c>
      <c r="S5" s="548">
        <v>17</v>
      </c>
      <c r="T5" s="278">
        <v>18</v>
      </c>
      <c r="U5" s="280">
        <v>19</v>
      </c>
      <c r="V5" s="281" t="s">
        <v>319</v>
      </c>
      <c r="W5" s="112" t="s">
        <v>329</v>
      </c>
      <c r="X5" s="112">
        <v>22</v>
      </c>
      <c r="Y5" s="548" t="s">
        <v>321</v>
      </c>
      <c r="Z5" s="112">
        <v>24</v>
      </c>
      <c r="AA5" s="112">
        <v>25</v>
      </c>
      <c r="AB5" s="548">
        <v>26</v>
      </c>
      <c r="AC5" s="112">
        <v>27</v>
      </c>
      <c r="AD5" s="112">
        <v>28</v>
      </c>
      <c r="AE5" s="548">
        <v>29</v>
      </c>
      <c r="AF5" s="112">
        <v>30</v>
      </c>
      <c r="AG5" s="112">
        <v>31</v>
      </c>
      <c r="AH5" s="548" t="s">
        <v>322</v>
      </c>
      <c r="AI5" s="112" t="s">
        <v>330</v>
      </c>
      <c r="AJ5" s="112" t="s">
        <v>324</v>
      </c>
      <c r="AK5" s="548" t="s">
        <v>325</v>
      </c>
      <c r="AL5" s="112">
        <v>36</v>
      </c>
      <c r="AM5" s="112">
        <v>37</v>
      </c>
      <c r="AN5" s="548">
        <v>38</v>
      </c>
      <c r="AO5" s="112">
        <v>39</v>
      </c>
      <c r="AP5" s="112" t="s">
        <v>326</v>
      </c>
      <c r="AQ5" s="282" t="s">
        <v>378</v>
      </c>
      <c r="AR5" s="676"/>
    </row>
    <row r="6" spans="1:44" ht="23.25" customHeight="1" x14ac:dyDescent="0.15">
      <c r="A6">
        <v>1</v>
      </c>
      <c r="B6" s="323" t="s">
        <v>37</v>
      </c>
      <c r="C6" s="324" t="s">
        <v>190</v>
      </c>
      <c r="D6" s="325" t="s">
        <v>35</v>
      </c>
      <c r="E6" s="326" t="s">
        <v>36</v>
      </c>
      <c r="F6" s="240">
        <v>95019211</v>
      </c>
      <c r="G6" s="240">
        <v>24805331</v>
      </c>
      <c r="H6" s="240">
        <v>11042266</v>
      </c>
      <c r="I6" s="283">
        <v>1380538748</v>
      </c>
      <c r="J6" s="285">
        <v>13.6</v>
      </c>
      <c r="K6" s="284">
        <v>1511405557</v>
      </c>
      <c r="L6" s="240"/>
      <c r="M6" s="240"/>
      <c r="N6" s="240"/>
      <c r="O6" s="240"/>
      <c r="P6" s="240"/>
      <c r="Q6" s="240"/>
      <c r="R6" s="240"/>
      <c r="S6" s="240"/>
      <c r="T6" s="283"/>
      <c r="U6" s="288"/>
      <c r="V6" s="284"/>
      <c r="W6" s="240">
        <v>1511405557</v>
      </c>
      <c r="X6" s="240"/>
      <c r="Y6" s="290"/>
      <c r="Z6" s="291" t="s">
        <v>495</v>
      </c>
      <c r="AA6" s="240">
        <v>807</v>
      </c>
      <c r="AB6" s="4"/>
      <c r="AC6" s="240"/>
      <c r="AD6" s="4"/>
      <c r="AE6" s="240"/>
      <c r="AF6" s="4"/>
      <c r="AG6" s="240"/>
      <c r="AH6" s="240">
        <v>1872869</v>
      </c>
      <c r="AI6" s="240" t="s">
        <v>440</v>
      </c>
      <c r="AJ6" s="240" t="s">
        <v>440</v>
      </c>
      <c r="AK6" s="240" t="s">
        <v>440</v>
      </c>
      <c r="AL6" s="240">
        <v>11</v>
      </c>
      <c r="AM6" s="240">
        <v>4140837</v>
      </c>
      <c r="AN6" s="240">
        <v>110806859</v>
      </c>
      <c r="AO6" s="241"/>
      <c r="AP6" s="302"/>
      <c r="AQ6" s="302">
        <v>6.29</v>
      </c>
      <c r="AR6" s="332" t="s">
        <v>148</v>
      </c>
    </row>
    <row r="7" spans="1:44" ht="23.25" customHeight="1" x14ac:dyDescent="0.15">
      <c r="A7">
        <v>2</v>
      </c>
      <c r="B7" s="323" t="s">
        <v>37</v>
      </c>
      <c r="C7" s="324" t="s">
        <v>191</v>
      </c>
      <c r="D7" s="325" t="s">
        <v>35</v>
      </c>
      <c r="E7" s="326" t="s">
        <v>36</v>
      </c>
      <c r="F7" s="240">
        <v>57122986</v>
      </c>
      <c r="G7" s="240">
        <v>8832190</v>
      </c>
      <c r="H7" s="240">
        <v>6463936</v>
      </c>
      <c r="I7" s="283">
        <v>732140604</v>
      </c>
      <c r="J7" s="285">
        <v>8.1999999999999993</v>
      </c>
      <c r="K7" s="284">
        <v>804559717</v>
      </c>
      <c r="L7" s="240"/>
      <c r="M7" s="240"/>
      <c r="N7" s="240"/>
      <c r="O7" s="240"/>
      <c r="P7" s="240"/>
      <c r="Q7" s="240"/>
      <c r="R7" s="240"/>
      <c r="S7" s="240"/>
      <c r="T7" s="283"/>
      <c r="U7" s="288"/>
      <c r="V7" s="284"/>
      <c r="W7" s="240">
        <v>804559717</v>
      </c>
      <c r="X7" s="240">
        <v>580700800</v>
      </c>
      <c r="Y7" s="290">
        <v>72.180000000000007</v>
      </c>
      <c r="Z7" s="5" t="s">
        <v>229</v>
      </c>
      <c r="AA7" s="240">
        <v>765245</v>
      </c>
      <c r="AB7" s="4"/>
      <c r="AC7" s="240"/>
      <c r="AD7" s="4"/>
      <c r="AE7" s="240"/>
      <c r="AF7" s="4"/>
      <c r="AG7" s="240"/>
      <c r="AH7" s="240">
        <v>1051</v>
      </c>
      <c r="AI7" s="240"/>
      <c r="AJ7" s="240"/>
      <c r="AK7" s="240"/>
      <c r="AL7" s="240">
        <v>6</v>
      </c>
      <c r="AM7" s="240">
        <v>2204273</v>
      </c>
      <c r="AN7" s="240">
        <v>98117038</v>
      </c>
      <c r="AO7" s="240"/>
      <c r="AP7" s="302" t="s">
        <v>440</v>
      </c>
      <c r="AQ7" s="302">
        <v>7.1</v>
      </c>
      <c r="AR7" s="332" t="s">
        <v>148</v>
      </c>
    </row>
    <row r="8" spans="1:44" ht="23.25" customHeight="1" x14ac:dyDescent="0.15">
      <c r="A8">
        <v>3</v>
      </c>
      <c r="B8" s="323" t="s">
        <v>37</v>
      </c>
      <c r="C8" s="324" t="s">
        <v>189</v>
      </c>
      <c r="D8" s="325" t="s">
        <v>35</v>
      </c>
      <c r="E8" s="326" t="s">
        <v>36</v>
      </c>
      <c r="F8" s="240">
        <v>23685140</v>
      </c>
      <c r="G8" s="240">
        <v>10653462</v>
      </c>
      <c r="H8" s="240">
        <v>7796854</v>
      </c>
      <c r="I8" s="283">
        <v>111989756</v>
      </c>
      <c r="J8" s="285">
        <v>3.4</v>
      </c>
      <c r="K8" s="284">
        <v>154125213</v>
      </c>
      <c r="L8" s="240"/>
      <c r="M8" s="240"/>
      <c r="N8" s="240"/>
      <c r="O8" s="240"/>
      <c r="P8" s="240"/>
      <c r="Q8" s="240"/>
      <c r="R8" s="240"/>
      <c r="S8" s="240"/>
      <c r="T8" s="283"/>
      <c r="U8" s="288"/>
      <c r="V8" s="284"/>
      <c r="W8" s="240">
        <v>154125213</v>
      </c>
      <c r="X8" s="240">
        <v>112292300</v>
      </c>
      <c r="Y8" s="290">
        <v>72.86</v>
      </c>
      <c r="Z8" s="495" t="s">
        <v>229</v>
      </c>
      <c r="AA8" s="240">
        <v>95310</v>
      </c>
      <c r="AB8" s="4"/>
      <c r="AC8" s="240"/>
      <c r="AD8" s="4"/>
      <c r="AE8" s="240"/>
      <c r="AF8" s="4"/>
      <c r="AG8" s="240"/>
      <c r="AH8" s="240">
        <v>1617</v>
      </c>
      <c r="AI8" s="240"/>
      <c r="AJ8" s="240"/>
      <c r="AK8" s="240"/>
      <c r="AL8" s="240">
        <v>1</v>
      </c>
      <c r="AM8" s="240">
        <v>422260</v>
      </c>
      <c r="AN8" s="240">
        <v>45330945</v>
      </c>
      <c r="AO8" s="241"/>
      <c r="AP8" s="302" t="s">
        <v>440</v>
      </c>
      <c r="AQ8" s="302">
        <v>15.37</v>
      </c>
      <c r="AR8" s="332" t="s">
        <v>148</v>
      </c>
    </row>
    <row r="9" spans="1:44" ht="23.25" customHeight="1" x14ac:dyDescent="0.15">
      <c r="A9">
        <v>4</v>
      </c>
      <c r="B9" s="323" t="s">
        <v>37</v>
      </c>
      <c r="C9" s="324" t="s">
        <v>223</v>
      </c>
      <c r="D9" s="325" t="s">
        <v>35</v>
      </c>
      <c r="E9" s="326" t="s">
        <v>36</v>
      </c>
      <c r="F9" s="240">
        <v>44583794</v>
      </c>
      <c r="G9" s="240">
        <v>11313300</v>
      </c>
      <c r="H9" s="240"/>
      <c r="I9" s="283">
        <v>24412232412</v>
      </c>
      <c r="J9" s="285">
        <v>6.4</v>
      </c>
      <c r="K9" s="284">
        <v>24468129507</v>
      </c>
      <c r="L9" s="240"/>
      <c r="M9" s="240"/>
      <c r="N9" s="240"/>
      <c r="O9" s="240"/>
      <c r="P9" s="240"/>
      <c r="Q9" s="240"/>
      <c r="R9" s="240"/>
      <c r="S9" s="240"/>
      <c r="T9" s="283"/>
      <c r="U9" s="288"/>
      <c r="V9" s="284"/>
      <c r="W9" s="240">
        <v>24468129507</v>
      </c>
      <c r="X9" s="240"/>
      <c r="Y9" s="290" t="s">
        <v>440</v>
      </c>
      <c r="Z9" s="5" t="s">
        <v>230</v>
      </c>
      <c r="AA9" s="240">
        <v>4</v>
      </c>
      <c r="AB9" s="4"/>
      <c r="AC9" s="240"/>
      <c r="AD9" s="4"/>
      <c r="AE9" s="240"/>
      <c r="AF9" s="4"/>
      <c r="AG9" s="240"/>
      <c r="AH9" s="240">
        <v>6117032376</v>
      </c>
      <c r="AI9" s="240"/>
      <c r="AJ9" s="240"/>
      <c r="AK9" s="240"/>
      <c r="AL9" s="240">
        <v>192</v>
      </c>
      <c r="AM9" s="240">
        <v>67035971</v>
      </c>
      <c r="AN9" s="240">
        <v>3823145235</v>
      </c>
      <c r="AO9" s="241"/>
      <c r="AP9" s="302" t="s">
        <v>440</v>
      </c>
      <c r="AQ9" s="302">
        <v>0.18</v>
      </c>
      <c r="AR9" s="332" t="s">
        <v>148</v>
      </c>
    </row>
    <row r="10" spans="1:44" ht="23.25" customHeight="1" x14ac:dyDescent="0.15">
      <c r="A10">
        <v>5</v>
      </c>
      <c r="B10" s="328" t="s">
        <v>37</v>
      </c>
      <c r="C10" s="327" t="s">
        <v>377</v>
      </c>
      <c r="D10" s="328" t="s">
        <v>338</v>
      </c>
      <c r="E10" s="328" t="s">
        <v>339</v>
      </c>
      <c r="F10" s="240">
        <v>78718261</v>
      </c>
      <c r="G10" s="240">
        <v>116207059</v>
      </c>
      <c r="H10" s="240"/>
      <c r="I10" s="283">
        <v>171174350</v>
      </c>
      <c r="J10" s="285">
        <v>11.3</v>
      </c>
      <c r="K10" s="284">
        <v>366099670</v>
      </c>
      <c r="L10" s="240"/>
      <c r="M10" s="240"/>
      <c r="N10" s="240"/>
      <c r="O10" s="240"/>
      <c r="P10" s="240"/>
      <c r="Q10" s="240"/>
      <c r="R10" s="240"/>
      <c r="S10" s="240"/>
      <c r="T10" s="283"/>
      <c r="U10" s="288"/>
      <c r="V10" s="284"/>
      <c r="W10" s="240">
        <v>366099670</v>
      </c>
      <c r="X10" s="240">
        <v>312624000</v>
      </c>
      <c r="Y10" s="290">
        <v>85.39</v>
      </c>
      <c r="Z10" s="5" t="s">
        <v>359</v>
      </c>
      <c r="AA10" s="240">
        <v>16032</v>
      </c>
      <c r="AB10" s="4"/>
      <c r="AC10" s="240"/>
      <c r="AD10" s="4"/>
      <c r="AE10" s="240"/>
      <c r="AF10" s="4"/>
      <c r="AG10" s="240"/>
      <c r="AH10" s="240">
        <v>22835</v>
      </c>
      <c r="AI10" s="240"/>
      <c r="AJ10" s="240"/>
      <c r="AK10" s="240"/>
      <c r="AL10" s="240">
        <v>2</v>
      </c>
      <c r="AM10" s="240">
        <v>1003012</v>
      </c>
      <c r="AN10" s="240">
        <v>32398200</v>
      </c>
      <c r="AO10" s="241"/>
      <c r="AP10" s="302"/>
      <c r="AQ10" s="302">
        <v>21.5</v>
      </c>
      <c r="AR10" s="332" t="s">
        <v>148</v>
      </c>
    </row>
    <row r="11" spans="1:44" ht="23.25" customHeight="1" x14ac:dyDescent="0.15">
      <c r="A11">
        <v>6</v>
      </c>
      <c r="B11" s="328" t="s">
        <v>37</v>
      </c>
      <c r="C11" s="327" t="s">
        <v>461</v>
      </c>
      <c r="D11" s="328" t="s">
        <v>338</v>
      </c>
      <c r="E11" s="328" t="s">
        <v>36</v>
      </c>
      <c r="F11" s="240">
        <v>18112166</v>
      </c>
      <c r="G11" s="240"/>
      <c r="H11" s="240"/>
      <c r="I11" s="283">
        <v>1338204630</v>
      </c>
      <c r="J11" s="285">
        <v>2.6</v>
      </c>
      <c r="K11" s="284">
        <v>1356316796</v>
      </c>
      <c r="L11" s="240"/>
      <c r="M11" s="240"/>
      <c r="N11" s="240"/>
      <c r="O11" s="240"/>
      <c r="P11" s="240"/>
      <c r="Q11" s="240"/>
      <c r="R11" s="240"/>
      <c r="S11" s="240"/>
      <c r="T11" s="283"/>
      <c r="U11" s="288"/>
      <c r="V11" s="284"/>
      <c r="W11" s="240">
        <v>1356316796</v>
      </c>
      <c r="X11" s="240"/>
      <c r="Y11" s="290"/>
      <c r="Z11" s="294" t="s">
        <v>384</v>
      </c>
      <c r="AA11" s="240">
        <v>516777</v>
      </c>
      <c r="AB11" s="4"/>
      <c r="AC11" s="240"/>
      <c r="AD11" s="4"/>
      <c r="AE11" s="240"/>
      <c r="AF11" s="4"/>
      <c r="AG11" s="240"/>
      <c r="AH11" s="240">
        <v>2624</v>
      </c>
      <c r="AI11" s="240"/>
      <c r="AJ11" s="240" t="s">
        <v>440</v>
      </c>
      <c r="AK11" s="240" t="s">
        <v>440</v>
      </c>
      <c r="AL11" s="240">
        <v>10</v>
      </c>
      <c r="AM11" s="240">
        <v>3715936</v>
      </c>
      <c r="AN11" s="240">
        <v>521660306</v>
      </c>
      <c r="AO11" s="240"/>
      <c r="AP11" s="302"/>
      <c r="AQ11" s="302">
        <v>1.34</v>
      </c>
      <c r="AR11" s="350" t="s">
        <v>148</v>
      </c>
    </row>
    <row r="12" spans="1:44" ht="23.25" customHeight="1" x14ac:dyDescent="0.15">
      <c r="A12">
        <v>7</v>
      </c>
      <c r="B12" s="323" t="s">
        <v>37</v>
      </c>
      <c r="C12" s="324" t="s">
        <v>187</v>
      </c>
      <c r="D12" s="325" t="s">
        <v>35</v>
      </c>
      <c r="E12" s="326" t="s">
        <v>38</v>
      </c>
      <c r="F12" s="240">
        <v>32741223</v>
      </c>
      <c r="G12" s="240">
        <v>27730305</v>
      </c>
      <c r="H12" s="240">
        <v>2757164</v>
      </c>
      <c r="I12" s="283"/>
      <c r="J12" s="285">
        <v>4.7</v>
      </c>
      <c r="K12" s="284">
        <v>63228694</v>
      </c>
      <c r="L12" s="240">
        <v>630441895</v>
      </c>
      <c r="M12" s="240">
        <v>1144203133</v>
      </c>
      <c r="N12" s="240">
        <v>207392320</v>
      </c>
      <c r="O12" s="240">
        <v>105756174</v>
      </c>
      <c r="P12" s="240">
        <v>837834215</v>
      </c>
      <c r="Q12" s="240">
        <v>5278550</v>
      </c>
      <c r="R12" s="240">
        <v>1249959307</v>
      </c>
      <c r="S12" s="240">
        <v>138138746</v>
      </c>
      <c r="T12" s="283"/>
      <c r="U12" s="288">
        <v>178</v>
      </c>
      <c r="V12" s="284">
        <v>2231210818</v>
      </c>
      <c r="W12" s="240">
        <v>2294439512</v>
      </c>
      <c r="X12" s="240">
        <v>28115970</v>
      </c>
      <c r="Y12" s="290">
        <v>1.23</v>
      </c>
      <c r="Z12" s="293" t="s">
        <v>231</v>
      </c>
      <c r="AA12" s="240">
        <v>282099</v>
      </c>
      <c r="AB12" s="4"/>
      <c r="AC12" s="240"/>
      <c r="AD12" s="4"/>
      <c r="AE12" s="240"/>
      <c r="AF12" s="4"/>
      <c r="AG12" s="240"/>
      <c r="AH12" s="240">
        <v>8133</v>
      </c>
      <c r="AI12" s="240"/>
      <c r="AJ12" s="240"/>
      <c r="AK12" s="240"/>
      <c r="AL12" s="240">
        <v>18</v>
      </c>
      <c r="AM12" s="240">
        <v>6286135</v>
      </c>
      <c r="AN12" s="240">
        <v>12558508</v>
      </c>
      <c r="AO12" s="241"/>
      <c r="AP12" s="302" t="s">
        <v>440</v>
      </c>
      <c r="AQ12" s="302">
        <v>38.17</v>
      </c>
      <c r="AR12" s="332" t="s">
        <v>149</v>
      </c>
    </row>
    <row r="13" spans="1:44" ht="23.25" customHeight="1" x14ac:dyDescent="0.15">
      <c r="A13">
        <v>8</v>
      </c>
      <c r="B13" s="323" t="s">
        <v>37</v>
      </c>
      <c r="C13" s="324" t="s">
        <v>188</v>
      </c>
      <c r="D13" s="325" t="s">
        <v>35</v>
      </c>
      <c r="E13" s="326" t="s">
        <v>38</v>
      </c>
      <c r="F13" s="240">
        <v>2786487</v>
      </c>
      <c r="G13" s="240">
        <v>1682352</v>
      </c>
      <c r="H13" s="240"/>
      <c r="I13" s="283"/>
      <c r="J13" s="285">
        <v>0.4</v>
      </c>
      <c r="K13" s="284">
        <v>4468839</v>
      </c>
      <c r="L13" s="240">
        <v>318201919</v>
      </c>
      <c r="M13" s="240">
        <v>99660689</v>
      </c>
      <c r="N13" s="240">
        <v>49117177</v>
      </c>
      <c r="O13" s="240">
        <v>32140743</v>
      </c>
      <c r="P13" s="240">
        <v>367319096</v>
      </c>
      <c r="Q13" s="240">
        <v>875386</v>
      </c>
      <c r="R13" s="240">
        <v>131801432</v>
      </c>
      <c r="S13" s="240">
        <v>15502639</v>
      </c>
      <c r="T13" s="283"/>
      <c r="U13" s="288">
        <v>20</v>
      </c>
      <c r="V13" s="284">
        <v>515498554</v>
      </c>
      <c r="W13" s="240">
        <v>519967393</v>
      </c>
      <c r="X13" s="240"/>
      <c r="Y13" s="290" t="s">
        <v>440</v>
      </c>
      <c r="Z13" s="5" t="s">
        <v>232</v>
      </c>
      <c r="AA13" s="240">
        <v>25224</v>
      </c>
      <c r="AB13" s="4"/>
      <c r="AC13" s="240"/>
      <c r="AD13" s="4"/>
      <c r="AE13" s="240"/>
      <c r="AF13" s="4"/>
      <c r="AG13" s="240"/>
      <c r="AH13" s="240">
        <v>20613</v>
      </c>
      <c r="AI13" s="240"/>
      <c r="AJ13" s="240"/>
      <c r="AK13" s="240"/>
      <c r="AL13" s="240">
        <v>4</v>
      </c>
      <c r="AM13" s="240">
        <v>1424568</v>
      </c>
      <c r="AN13" s="240">
        <v>25488597</v>
      </c>
      <c r="AO13" s="240"/>
      <c r="AP13" s="302" t="s">
        <v>440</v>
      </c>
      <c r="AQ13" s="302">
        <v>71.349999999999994</v>
      </c>
      <c r="AR13" s="332" t="s">
        <v>149</v>
      </c>
    </row>
    <row r="14" spans="1:44" ht="23.25" customHeight="1" x14ac:dyDescent="0.15">
      <c r="A14">
        <v>9</v>
      </c>
      <c r="B14" s="323" t="s">
        <v>37</v>
      </c>
      <c r="C14" s="324" t="s">
        <v>96</v>
      </c>
      <c r="D14" s="325" t="s">
        <v>87</v>
      </c>
      <c r="E14" s="326" t="s">
        <v>36</v>
      </c>
      <c r="F14" s="240">
        <v>42493928</v>
      </c>
      <c r="G14" s="240">
        <v>878614</v>
      </c>
      <c r="H14" s="240">
        <v>9992744</v>
      </c>
      <c r="I14" s="283">
        <v>96054776</v>
      </c>
      <c r="J14" s="285">
        <v>6.1</v>
      </c>
      <c r="K14" s="284">
        <v>149420063</v>
      </c>
      <c r="L14" s="240"/>
      <c r="M14" s="240"/>
      <c r="N14" s="240"/>
      <c r="O14" s="240"/>
      <c r="P14" s="240"/>
      <c r="Q14" s="240"/>
      <c r="R14" s="240"/>
      <c r="S14" s="240"/>
      <c r="T14" s="283"/>
      <c r="U14" s="288"/>
      <c r="V14" s="284"/>
      <c r="W14" s="240">
        <v>149420063</v>
      </c>
      <c r="X14" s="240"/>
      <c r="Y14" s="290" t="s">
        <v>440</v>
      </c>
      <c r="Z14" s="502" t="s">
        <v>233</v>
      </c>
      <c r="AA14" s="240">
        <v>466</v>
      </c>
      <c r="AB14" s="4"/>
      <c r="AC14" s="240"/>
      <c r="AD14" s="4"/>
      <c r="AE14" s="240"/>
      <c r="AF14" s="4"/>
      <c r="AG14" s="240"/>
      <c r="AH14" s="240">
        <v>320643</v>
      </c>
      <c r="AI14" s="240"/>
      <c r="AJ14" s="240"/>
      <c r="AK14" s="240"/>
      <c r="AL14" s="310">
        <v>1</v>
      </c>
      <c r="AM14" s="240">
        <v>409370</v>
      </c>
      <c r="AN14" s="240">
        <v>24495092</v>
      </c>
      <c r="AO14" s="240">
        <v>845785135</v>
      </c>
      <c r="AP14" s="302">
        <v>17.670000000000002</v>
      </c>
      <c r="AQ14" s="302">
        <v>28.44</v>
      </c>
      <c r="AR14" s="332" t="s">
        <v>150</v>
      </c>
    </row>
    <row r="15" spans="1:44" ht="23.25" customHeight="1" x14ac:dyDescent="0.15">
      <c r="A15">
        <v>10</v>
      </c>
      <c r="B15" s="323" t="s">
        <v>86</v>
      </c>
      <c r="C15" s="324" t="s">
        <v>381</v>
      </c>
      <c r="D15" s="325" t="s">
        <v>35</v>
      </c>
      <c r="E15" s="326" t="s">
        <v>36</v>
      </c>
      <c r="F15" s="240">
        <v>27864871</v>
      </c>
      <c r="G15" s="240">
        <v>55804467</v>
      </c>
      <c r="H15" s="240"/>
      <c r="I15" s="283">
        <v>2414900763</v>
      </c>
      <c r="J15" s="285">
        <v>4</v>
      </c>
      <c r="K15" s="284">
        <v>2498570101</v>
      </c>
      <c r="L15" s="240"/>
      <c r="M15" s="240"/>
      <c r="N15" s="240"/>
      <c r="O15" s="240"/>
      <c r="P15" s="240"/>
      <c r="Q15" s="240"/>
      <c r="R15" s="240"/>
      <c r="S15" s="240"/>
      <c r="T15" s="283"/>
      <c r="U15" s="295"/>
      <c r="V15" s="284"/>
      <c r="W15" s="240">
        <v>2498570101</v>
      </c>
      <c r="X15" s="240"/>
      <c r="Y15" s="290"/>
      <c r="Z15" s="495" t="s">
        <v>382</v>
      </c>
      <c r="AA15" s="240">
        <v>365</v>
      </c>
      <c r="AB15" s="4"/>
      <c r="AC15" s="240"/>
      <c r="AD15" s="4"/>
      <c r="AE15" s="240"/>
      <c r="AF15" s="4"/>
      <c r="AG15" s="240"/>
      <c r="AH15" s="240">
        <v>6845397</v>
      </c>
      <c r="AI15" s="240" t="s">
        <v>440</v>
      </c>
      <c r="AJ15" s="240" t="s">
        <v>440</v>
      </c>
      <c r="AK15" s="240" t="s">
        <v>440</v>
      </c>
      <c r="AL15" s="240">
        <v>19</v>
      </c>
      <c r="AM15" s="240">
        <v>6845397</v>
      </c>
      <c r="AN15" s="240">
        <v>624642525</v>
      </c>
      <c r="AO15" s="241"/>
      <c r="AP15" s="302"/>
      <c r="AQ15" s="302">
        <v>1.1200000000000001</v>
      </c>
      <c r="AR15" s="332" t="s">
        <v>148</v>
      </c>
    </row>
    <row r="16" spans="1:44" ht="23.25" customHeight="1" x14ac:dyDescent="0.15">
      <c r="A16">
        <v>11</v>
      </c>
      <c r="B16" s="323" t="s">
        <v>88</v>
      </c>
      <c r="C16" s="324" t="s">
        <v>89</v>
      </c>
      <c r="D16" s="325" t="s">
        <v>35</v>
      </c>
      <c r="E16" s="326" t="s">
        <v>36</v>
      </c>
      <c r="F16" s="240">
        <v>18112166</v>
      </c>
      <c r="G16" s="240">
        <v>13923216</v>
      </c>
      <c r="H16" s="240">
        <v>2027454</v>
      </c>
      <c r="I16" s="283">
        <v>111188500</v>
      </c>
      <c r="J16" s="285">
        <v>2.6</v>
      </c>
      <c r="K16" s="284">
        <v>145251336</v>
      </c>
      <c r="L16" s="240"/>
      <c r="M16" s="240"/>
      <c r="N16" s="240"/>
      <c r="O16" s="240"/>
      <c r="P16" s="240"/>
      <c r="Q16" s="240"/>
      <c r="R16" s="240"/>
      <c r="S16" s="240"/>
      <c r="T16" s="283"/>
      <c r="U16" s="295"/>
      <c r="V16" s="284"/>
      <c r="W16" s="240">
        <v>145251336</v>
      </c>
      <c r="X16" s="240"/>
      <c r="Y16" s="290"/>
      <c r="Z16" s="293" t="s">
        <v>333</v>
      </c>
      <c r="AA16" s="240">
        <v>6800</v>
      </c>
      <c r="AB16" s="4" t="s">
        <v>334</v>
      </c>
      <c r="AC16" s="240">
        <v>11300</v>
      </c>
      <c r="AD16" s="4"/>
      <c r="AE16" s="240"/>
      <c r="AF16" s="4"/>
      <c r="AG16" s="240"/>
      <c r="AH16" s="240">
        <v>21360</v>
      </c>
      <c r="AI16" s="240">
        <v>12854</v>
      </c>
      <c r="AJ16" s="240" t="s">
        <v>440</v>
      </c>
      <c r="AK16" s="240" t="s">
        <v>440</v>
      </c>
      <c r="AL16" s="240">
        <v>1</v>
      </c>
      <c r="AM16" s="240">
        <v>397948</v>
      </c>
      <c r="AN16" s="240">
        <v>55865898</v>
      </c>
      <c r="AO16" s="241"/>
      <c r="AP16" s="302"/>
      <c r="AQ16" s="302">
        <v>12.47</v>
      </c>
      <c r="AR16" s="332" t="s">
        <v>148</v>
      </c>
    </row>
    <row r="17" spans="1:44" ht="23.25" customHeight="1" x14ac:dyDescent="0.15">
      <c r="A17">
        <v>12</v>
      </c>
      <c r="B17" s="323" t="s">
        <v>39</v>
      </c>
      <c r="C17" s="324" t="s">
        <v>503</v>
      </c>
      <c r="D17" s="325" t="s">
        <v>35</v>
      </c>
      <c r="E17" s="326" t="s">
        <v>36</v>
      </c>
      <c r="F17" s="240">
        <v>71752043</v>
      </c>
      <c r="G17" s="240">
        <v>40327100</v>
      </c>
      <c r="H17" s="240">
        <v>4537141</v>
      </c>
      <c r="I17" s="283">
        <v>2090518000</v>
      </c>
      <c r="J17" s="285">
        <v>10.3</v>
      </c>
      <c r="K17" s="284">
        <v>2207134286</v>
      </c>
      <c r="L17" s="240"/>
      <c r="M17" s="240"/>
      <c r="N17" s="240"/>
      <c r="O17" s="240"/>
      <c r="P17" s="240"/>
      <c r="Q17" s="240"/>
      <c r="R17" s="240"/>
      <c r="S17" s="240"/>
      <c r="T17" s="283"/>
      <c r="U17" s="288"/>
      <c r="V17" s="284"/>
      <c r="W17" s="240">
        <v>2207134287.0200825</v>
      </c>
      <c r="X17" s="240">
        <v>2090518000</v>
      </c>
      <c r="Y17" s="290">
        <v>94.72</v>
      </c>
      <c r="Z17" s="499" t="s">
        <v>501</v>
      </c>
      <c r="AA17" s="240">
        <v>78</v>
      </c>
      <c r="AB17" s="500" t="s">
        <v>502</v>
      </c>
      <c r="AC17" s="240">
        <v>17</v>
      </c>
      <c r="AD17" s="4"/>
      <c r="AE17" s="240"/>
      <c r="AF17" s="4"/>
      <c r="AG17" s="240"/>
      <c r="AH17" s="240">
        <v>26142146</v>
      </c>
      <c r="AI17" s="240">
        <v>9885109</v>
      </c>
      <c r="AJ17" s="240" t="s">
        <v>440</v>
      </c>
      <c r="AK17" s="240" t="s">
        <v>440</v>
      </c>
      <c r="AL17" s="240">
        <v>17</v>
      </c>
      <c r="AM17" s="240">
        <v>6046943</v>
      </c>
      <c r="AN17" s="240">
        <v>380540394</v>
      </c>
      <c r="AO17" s="241"/>
      <c r="AP17" s="302"/>
      <c r="AQ17" s="302">
        <v>3.25</v>
      </c>
      <c r="AR17" s="332" t="s">
        <v>148</v>
      </c>
    </row>
    <row r="18" spans="1:44" s="6" customFormat="1" ht="23.25" customHeight="1" x14ac:dyDescent="0.15">
      <c r="A18">
        <v>13</v>
      </c>
      <c r="B18" s="323" t="s">
        <v>88</v>
      </c>
      <c r="C18" s="324" t="s">
        <v>504</v>
      </c>
      <c r="D18" s="325" t="s">
        <v>35</v>
      </c>
      <c r="E18" s="326" t="s">
        <v>36</v>
      </c>
      <c r="F18" s="240">
        <v>40404063</v>
      </c>
      <c r="G18" s="240">
        <v>22708464</v>
      </c>
      <c r="H18" s="240">
        <v>2554895</v>
      </c>
      <c r="I18" s="283">
        <v>1973420000</v>
      </c>
      <c r="J18" s="285">
        <v>5.8</v>
      </c>
      <c r="K18" s="284">
        <v>2039087423</v>
      </c>
      <c r="L18" s="240"/>
      <c r="M18" s="240"/>
      <c r="N18" s="240"/>
      <c r="O18" s="240"/>
      <c r="P18" s="240"/>
      <c r="Q18" s="240"/>
      <c r="R18" s="240"/>
      <c r="S18" s="240"/>
      <c r="T18" s="283"/>
      <c r="U18" s="288"/>
      <c r="V18" s="284"/>
      <c r="W18" s="240">
        <v>2039087423</v>
      </c>
      <c r="X18" s="240">
        <v>1973420000</v>
      </c>
      <c r="Y18" s="290">
        <v>96.78</v>
      </c>
      <c r="Z18" s="309" t="s">
        <v>501</v>
      </c>
      <c r="AA18" s="240">
        <v>78</v>
      </c>
      <c r="AB18" s="4"/>
      <c r="AC18" s="240"/>
      <c r="AD18" s="4"/>
      <c r="AE18" s="240"/>
      <c r="AF18" s="4"/>
      <c r="AG18" s="240"/>
      <c r="AH18" s="240">
        <v>26142146</v>
      </c>
      <c r="AI18" s="240"/>
      <c r="AJ18" s="240" t="s">
        <v>440</v>
      </c>
      <c r="AK18" s="240" t="s">
        <v>440</v>
      </c>
      <c r="AL18" s="240"/>
      <c r="AM18" s="240"/>
      <c r="AN18" s="240"/>
      <c r="AO18" s="241"/>
      <c r="AP18" s="302"/>
      <c r="AQ18" s="302"/>
      <c r="AR18" s="332"/>
    </row>
    <row r="19" spans="1:44" ht="23.25" customHeight="1" x14ac:dyDescent="0.15">
      <c r="A19">
        <v>14</v>
      </c>
      <c r="B19" s="323" t="s">
        <v>88</v>
      </c>
      <c r="C19" s="324" t="s">
        <v>505</v>
      </c>
      <c r="D19" s="325" t="s">
        <v>35</v>
      </c>
      <c r="E19" s="326" t="s">
        <v>36</v>
      </c>
      <c r="F19" s="240">
        <v>31347980</v>
      </c>
      <c r="G19" s="240">
        <v>17618636</v>
      </c>
      <c r="H19" s="240">
        <v>1982246</v>
      </c>
      <c r="I19" s="283">
        <v>117098000</v>
      </c>
      <c r="J19" s="285">
        <v>4.5</v>
      </c>
      <c r="K19" s="284">
        <v>168046863</v>
      </c>
      <c r="L19" s="240"/>
      <c r="M19" s="240"/>
      <c r="N19" s="240"/>
      <c r="O19" s="240"/>
      <c r="P19" s="240"/>
      <c r="Q19" s="240"/>
      <c r="R19" s="240"/>
      <c r="S19" s="240"/>
      <c r="T19" s="283"/>
      <c r="U19" s="288"/>
      <c r="V19" s="284"/>
      <c r="W19" s="240">
        <v>168046863</v>
      </c>
      <c r="X19" s="240">
        <v>117098000</v>
      </c>
      <c r="Y19" s="290">
        <v>69.680000000000007</v>
      </c>
      <c r="Z19" s="4" t="s">
        <v>502</v>
      </c>
      <c r="AA19" s="240">
        <v>17</v>
      </c>
      <c r="AB19" s="4"/>
      <c r="AC19" s="240"/>
      <c r="AD19" s="4"/>
      <c r="AE19" s="240"/>
      <c r="AF19" s="4"/>
      <c r="AG19" s="240"/>
      <c r="AH19" s="240">
        <v>9885109</v>
      </c>
      <c r="AI19" s="240"/>
      <c r="AJ19" s="240" t="s">
        <v>440</v>
      </c>
      <c r="AK19" s="240" t="s">
        <v>440</v>
      </c>
      <c r="AL19" s="240"/>
      <c r="AM19" s="240"/>
      <c r="AN19" s="240"/>
      <c r="AO19" s="240"/>
      <c r="AP19" s="302"/>
      <c r="AQ19" s="302"/>
      <c r="AR19" s="332"/>
    </row>
    <row r="20" spans="1:44" s="6" customFormat="1" ht="23.25" customHeight="1" x14ac:dyDescent="0.15">
      <c r="A20" s="6">
        <v>15</v>
      </c>
      <c r="B20" s="323" t="s">
        <v>534</v>
      </c>
      <c r="C20" s="324" t="s">
        <v>530</v>
      </c>
      <c r="D20" s="591" t="s">
        <v>35</v>
      </c>
      <c r="E20" s="330" t="s">
        <v>36</v>
      </c>
      <c r="F20" s="240"/>
      <c r="G20" s="240"/>
      <c r="H20" s="240"/>
      <c r="I20" s="283"/>
      <c r="J20" s="285"/>
      <c r="K20" s="284"/>
      <c r="L20" s="240"/>
      <c r="M20" s="240"/>
      <c r="N20" s="240"/>
      <c r="O20" s="240"/>
      <c r="P20" s="240"/>
      <c r="Q20" s="240"/>
      <c r="R20" s="240"/>
      <c r="S20" s="240"/>
      <c r="T20" s="283"/>
      <c r="U20" s="288"/>
      <c r="V20" s="284"/>
      <c r="W20" s="240"/>
      <c r="X20" s="240"/>
      <c r="Y20" s="290"/>
      <c r="Z20" s="4"/>
      <c r="AA20" s="240"/>
      <c r="AB20" s="4"/>
      <c r="AC20" s="240"/>
      <c r="AD20" s="4"/>
      <c r="AE20" s="240"/>
      <c r="AF20" s="4"/>
      <c r="AG20" s="240"/>
      <c r="AH20" s="240"/>
      <c r="AI20" s="240"/>
      <c r="AJ20" s="240"/>
      <c r="AK20" s="240"/>
      <c r="AL20" s="240"/>
      <c r="AM20" s="240"/>
      <c r="AN20" s="240"/>
      <c r="AO20" s="240"/>
      <c r="AP20" s="302"/>
      <c r="AQ20" s="302"/>
      <c r="AR20" s="593"/>
    </row>
    <row r="21" spans="1:44" ht="23.25" customHeight="1" x14ac:dyDescent="0.15">
      <c r="A21">
        <v>16</v>
      </c>
      <c r="B21" s="323" t="s">
        <v>39</v>
      </c>
      <c r="C21" s="324" t="s">
        <v>91</v>
      </c>
      <c r="D21" s="325" t="s">
        <v>35</v>
      </c>
      <c r="E21" s="326" t="s">
        <v>36</v>
      </c>
      <c r="F21" s="240">
        <v>299547367</v>
      </c>
      <c r="G21" s="240">
        <v>2011739513</v>
      </c>
      <c r="H21" s="240">
        <v>125237795</v>
      </c>
      <c r="I21" s="283">
        <v>931082982</v>
      </c>
      <c r="J21" s="285">
        <v>43</v>
      </c>
      <c r="K21" s="284">
        <v>3367607657</v>
      </c>
      <c r="L21" s="240"/>
      <c r="M21" s="240"/>
      <c r="N21" s="240"/>
      <c r="O21" s="240"/>
      <c r="P21" s="240"/>
      <c r="Q21" s="240"/>
      <c r="R21" s="240"/>
      <c r="S21" s="240"/>
      <c r="T21" s="283"/>
      <c r="U21" s="288"/>
      <c r="V21" s="284"/>
      <c r="W21" s="240">
        <v>3367607657</v>
      </c>
      <c r="X21" s="240"/>
      <c r="Y21" s="290" t="s">
        <v>440</v>
      </c>
      <c r="Z21" s="309" t="s">
        <v>235</v>
      </c>
      <c r="AA21" s="240">
        <v>18</v>
      </c>
      <c r="AB21" s="4"/>
      <c r="AC21" s="240"/>
      <c r="AD21" s="4"/>
      <c r="AE21" s="240"/>
      <c r="AF21" s="4"/>
      <c r="AG21" s="240"/>
      <c r="AH21" s="240">
        <v>187089314</v>
      </c>
      <c r="AI21" s="240"/>
      <c r="AJ21" s="240"/>
      <c r="AK21" s="240"/>
      <c r="AL21" s="240">
        <v>26</v>
      </c>
      <c r="AM21" s="240">
        <v>9226322</v>
      </c>
      <c r="AN21" s="240">
        <v>78316457</v>
      </c>
      <c r="AO21" s="241"/>
      <c r="AP21" s="302" t="s">
        <v>440</v>
      </c>
      <c r="AQ21" s="302">
        <v>8.89</v>
      </c>
      <c r="AR21" s="536" t="s">
        <v>148</v>
      </c>
    </row>
    <row r="22" spans="1:44" ht="23.25" customHeight="1" x14ac:dyDescent="0.15">
      <c r="A22">
        <v>17</v>
      </c>
      <c r="B22" s="323" t="s">
        <v>39</v>
      </c>
      <c r="C22" s="324" t="s">
        <v>92</v>
      </c>
      <c r="D22" s="323" t="s">
        <v>35</v>
      </c>
      <c r="E22" s="330" t="s">
        <v>38</v>
      </c>
      <c r="F22" s="240">
        <v>2659151641</v>
      </c>
      <c r="G22" s="240">
        <v>1747110234</v>
      </c>
      <c r="H22" s="240">
        <v>296694607</v>
      </c>
      <c r="I22" s="283">
        <v>5819819978</v>
      </c>
      <c r="J22" s="285">
        <v>381.7</v>
      </c>
      <c r="K22" s="284">
        <v>10522776460</v>
      </c>
      <c r="L22" s="240">
        <v>1506420911</v>
      </c>
      <c r="M22" s="240">
        <v>625007526</v>
      </c>
      <c r="N22" s="240">
        <v>179918400</v>
      </c>
      <c r="O22" s="240">
        <v>77981483</v>
      </c>
      <c r="P22" s="240">
        <v>1686339311</v>
      </c>
      <c r="Q22" s="240">
        <v>-2806935</v>
      </c>
      <c r="R22" s="240">
        <v>702989009</v>
      </c>
      <c r="S22" s="240"/>
      <c r="T22" s="283"/>
      <c r="U22" s="288">
        <v>206</v>
      </c>
      <c r="V22" s="284">
        <v>2386521385</v>
      </c>
      <c r="W22" s="240">
        <v>12909297845</v>
      </c>
      <c r="X22" s="240"/>
      <c r="Y22" s="290" t="s">
        <v>440</v>
      </c>
      <c r="Z22" s="5" t="s">
        <v>236</v>
      </c>
      <c r="AA22" s="240">
        <v>7</v>
      </c>
      <c r="AB22" s="4"/>
      <c r="AC22" s="240"/>
      <c r="AD22" s="4"/>
      <c r="AE22" s="240"/>
      <c r="AF22" s="4"/>
      <c r="AG22" s="240"/>
      <c r="AH22" s="240">
        <v>1844185406</v>
      </c>
      <c r="AI22" s="240"/>
      <c r="AJ22" s="240"/>
      <c r="AK22" s="240"/>
      <c r="AL22" s="240">
        <v>101</v>
      </c>
      <c r="AM22" s="240">
        <v>35367939</v>
      </c>
      <c r="AN22" s="240">
        <v>21965010</v>
      </c>
      <c r="AO22" s="240"/>
      <c r="AP22" s="302" t="s">
        <v>440</v>
      </c>
      <c r="AQ22" s="302">
        <v>33.64</v>
      </c>
      <c r="AR22" s="536" t="s">
        <v>149</v>
      </c>
    </row>
    <row r="23" spans="1:44" ht="23.25" customHeight="1" x14ac:dyDescent="0.15">
      <c r="A23">
        <v>18</v>
      </c>
      <c r="B23" s="323" t="s">
        <v>88</v>
      </c>
      <c r="C23" s="324" t="s">
        <v>90</v>
      </c>
      <c r="D23" s="325" t="s">
        <v>87</v>
      </c>
      <c r="E23" s="326" t="s">
        <v>36</v>
      </c>
      <c r="F23" s="240">
        <v>543364991</v>
      </c>
      <c r="G23" s="240">
        <v>649924037</v>
      </c>
      <c r="H23" s="240">
        <v>110370230</v>
      </c>
      <c r="I23" s="283">
        <v>760308094</v>
      </c>
      <c r="J23" s="285">
        <v>78</v>
      </c>
      <c r="K23" s="284">
        <v>2063967352</v>
      </c>
      <c r="L23" s="240"/>
      <c r="M23" s="240"/>
      <c r="N23" s="240"/>
      <c r="O23" s="240"/>
      <c r="P23" s="240"/>
      <c r="Q23" s="240"/>
      <c r="R23" s="240"/>
      <c r="S23" s="240"/>
      <c r="T23" s="283"/>
      <c r="U23" s="295"/>
      <c r="V23" s="284"/>
      <c r="W23" s="240">
        <v>2063967352</v>
      </c>
      <c r="X23" s="240"/>
      <c r="Y23" s="290" t="s">
        <v>440</v>
      </c>
      <c r="Z23" s="5" t="s">
        <v>237</v>
      </c>
      <c r="AA23" s="240">
        <v>414046</v>
      </c>
      <c r="AB23" s="4"/>
      <c r="AC23" s="240"/>
      <c r="AD23" s="4"/>
      <c r="AE23" s="240"/>
      <c r="AF23" s="4"/>
      <c r="AG23" s="240"/>
      <c r="AH23" s="240">
        <v>4984</v>
      </c>
      <c r="AI23" s="240"/>
      <c r="AJ23" s="240"/>
      <c r="AK23" s="240"/>
      <c r="AL23" s="240">
        <v>16</v>
      </c>
      <c r="AM23" s="240">
        <v>5654705</v>
      </c>
      <c r="AN23" s="240">
        <v>26461119</v>
      </c>
      <c r="AO23" s="241">
        <v>384545609423</v>
      </c>
      <c r="AP23" s="302">
        <v>0.54</v>
      </c>
      <c r="AQ23" s="302">
        <v>26.33</v>
      </c>
      <c r="AR23" s="536" t="s">
        <v>150</v>
      </c>
    </row>
    <row r="24" spans="1:44" ht="23.25" customHeight="1" x14ac:dyDescent="0.15">
      <c r="A24">
        <v>19</v>
      </c>
      <c r="B24" s="328" t="s">
        <v>93</v>
      </c>
      <c r="C24" s="327" t="s">
        <v>356</v>
      </c>
      <c r="D24" s="328" t="s">
        <v>338</v>
      </c>
      <c r="E24" s="328" t="s">
        <v>339</v>
      </c>
      <c r="F24" s="240">
        <v>104493267</v>
      </c>
      <c r="G24" s="240">
        <v>48651112</v>
      </c>
      <c r="H24" s="240">
        <v>7287853</v>
      </c>
      <c r="I24" s="283"/>
      <c r="J24" s="285">
        <v>15</v>
      </c>
      <c r="K24" s="284">
        <v>160432234</v>
      </c>
      <c r="L24" s="240"/>
      <c r="M24" s="240"/>
      <c r="N24" s="240"/>
      <c r="O24" s="240"/>
      <c r="P24" s="240"/>
      <c r="Q24" s="240"/>
      <c r="R24" s="240"/>
      <c r="S24" s="240"/>
      <c r="T24" s="283"/>
      <c r="U24" s="288"/>
      <c r="V24" s="284"/>
      <c r="W24" s="240">
        <v>160432234</v>
      </c>
      <c r="X24" s="240">
        <v>162880000</v>
      </c>
      <c r="Y24" s="290">
        <v>101.53</v>
      </c>
      <c r="Z24" s="5" t="s">
        <v>359</v>
      </c>
      <c r="AA24" s="240">
        <v>20360</v>
      </c>
      <c r="AB24" s="4"/>
      <c r="AC24" s="240"/>
      <c r="AD24" s="4"/>
      <c r="AE24" s="240"/>
      <c r="AF24" s="4"/>
      <c r="AG24" s="240"/>
      <c r="AH24" s="240">
        <v>7879</v>
      </c>
      <c r="AI24" s="240"/>
      <c r="AJ24" s="240"/>
      <c r="AK24" s="240"/>
      <c r="AL24" s="240">
        <v>1</v>
      </c>
      <c r="AM24" s="240">
        <v>439540</v>
      </c>
      <c r="AN24" s="240">
        <v>10695482</v>
      </c>
      <c r="AO24" s="241"/>
      <c r="AP24" s="302"/>
      <c r="AQ24" s="302">
        <v>65.13</v>
      </c>
      <c r="AR24" s="536" t="s">
        <v>148</v>
      </c>
    </row>
    <row r="25" spans="1:44" ht="23.25" customHeight="1" x14ac:dyDescent="0.15">
      <c r="A25">
        <v>20</v>
      </c>
      <c r="B25" s="323" t="s">
        <v>93</v>
      </c>
      <c r="C25" s="324" t="s">
        <v>94</v>
      </c>
      <c r="D25" s="325" t="s">
        <v>35</v>
      </c>
      <c r="E25" s="326" t="s">
        <v>36</v>
      </c>
      <c r="F25" s="240">
        <v>162375571727</v>
      </c>
      <c r="G25" s="240">
        <v>4764336675</v>
      </c>
      <c r="H25" s="240">
        <v>22899950582</v>
      </c>
      <c r="I25" s="283">
        <v>68619773104</v>
      </c>
      <c r="J25" s="285">
        <v>23309</v>
      </c>
      <c r="K25" s="284">
        <v>258659632088</v>
      </c>
      <c r="L25" s="240"/>
      <c r="M25" s="240"/>
      <c r="N25" s="240"/>
      <c r="O25" s="240"/>
      <c r="P25" s="240"/>
      <c r="Q25" s="240"/>
      <c r="R25" s="240"/>
      <c r="S25" s="240"/>
      <c r="T25" s="283"/>
      <c r="U25" s="288"/>
      <c r="V25" s="284"/>
      <c r="W25" s="240">
        <v>258659632088</v>
      </c>
      <c r="X25" s="240">
        <v>3981031322</v>
      </c>
      <c r="Y25" s="290">
        <v>1.54</v>
      </c>
      <c r="Z25" s="5" t="s">
        <v>238</v>
      </c>
      <c r="AA25" s="240">
        <v>59708</v>
      </c>
      <c r="AB25" s="4"/>
      <c r="AC25" s="240"/>
      <c r="AD25" s="4"/>
      <c r="AE25" s="240"/>
      <c r="AF25" s="4"/>
      <c r="AG25" s="240"/>
      <c r="AH25" s="240">
        <v>11868</v>
      </c>
      <c r="AI25" s="240"/>
      <c r="AJ25" s="240"/>
      <c r="AK25" s="240"/>
      <c r="AL25" s="240">
        <v>2037</v>
      </c>
      <c r="AM25" s="240">
        <v>708656526</v>
      </c>
      <c r="AN25" s="240">
        <v>11096985</v>
      </c>
      <c r="AO25" s="241"/>
      <c r="AP25" s="302" t="s">
        <v>440</v>
      </c>
      <c r="AQ25" s="302">
        <v>62.78</v>
      </c>
      <c r="AR25" s="536" t="s">
        <v>148</v>
      </c>
    </row>
    <row r="26" spans="1:44" ht="23.25" customHeight="1" x14ac:dyDescent="0.15">
      <c r="A26">
        <v>21</v>
      </c>
      <c r="B26" s="328" t="s">
        <v>93</v>
      </c>
      <c r="C26" s="327" t="s">
        <v>507</v>
      </c>
      <c r="D26" s="328" t="s">
        <v>338</v>
      </c>
      <c r="E26" s="328" t="s">
        <v>339</v>
      </c>
      <c r="F26" s="240">
        <v>341344674</v>
      </c>
      <c r="G26" s="240">
        <v>5728923</v>
      </c>
      <c r="H26" s="240">
        <v>21386995</v>
      </c>
      <c r="I26" s="283">
        <v>355437098</v>
      </c>
      <c r="J26" s="285">
        <v>49</v>
      </c>
      <c r="K26" s="284">
        <v>723897692</v>
      </c>
      <c r="L26" s="240"/>
      <c r="M26" s="240"/>
      <c r="N26" s="240"/>
      <c r="O26" s="240"/>
      <c r="P26" s="240"/>
      <c r="Q26" s="240"/>
      <c r="R26" s="240"/>
      <c r="S26" s="240"/>
      <c r="T26" s="283"/>
      <c r="U26" s="288"/>
      <c r="V26" s="284"/>
      <c r="W26" s="240">
        <v>723897692</v>
      </c>
      <c r="X26" s="240"/>
      <c r="Y26" s="290"/>
      <c r="Z26" s="5" t="s">
        <v>358</v>
      </c>
      <c r="AA26" s="240">
        <v>225073</v>
      </c>
      <c r="AB26" s="4"/>
      <c r="AC26" s="240"/>
      <c r="AD26" s="4"/>
      <c r="AE26" s="240"/>
      <c r="AF26" s="4"/>
      <c r="AG26" s="240"/>
      <c r="AH26" s="240">
        <v>3216</v>
      </c>
      <c r="AI26" s="240"/>
      <c r="AJ26" s="240"/>
      <c r="AK26" s="240"/>
      <c r="AL26" s="240">
        <v>5</v>
      </c>
      <c r="AM26" s="240">
        <v>1983281</v>
      </c>
      <c r="AN26" s="240">
        <v>14773422</v>
      </c>
      <c r="AO26" s="240"/>
      <c r="AP26" s="302"/>
      <c r="AQ26" s="302">
        <v>47.15</v>
      </c>
      <c r="AR26" s="536" t="s">
        <v>148</v>
      </c>
    </row>
    <row r="27" spans="1:44" ht="23.25" customHeight="1" x14ac:dyDescent="0.15">
      <c r="A27">
        <v>22</v>
      </c>
      <c r="B27" s="323" t="s">
        <v>93</v>
      </c>
      <c r="C27" s="324" t="s">
        <v>95</v>
      </c>
      <c r="D27" s="325" t="s">
        <v>35</v>
      </c>
      <c r="E27" s="326" t="s">
        <v>36</v>
      </c>
      <c r="F27" s="240">
        <v>3211426426</v>
      </c>
      <c r="G27" s="240">
        <v>222320278</v>
      </c>
      <c r="H27" s="240">
        <v>256659479</v>
      </c>
      <c r="I27" s="283">
        <v>1409658614</v>
      </c>
      <c r="J27" s="285">
        <v>461</v>
      </c>
      <c r="K27" s="284">
        <v>5100064797</v>
      </c>
      <c r="L27" s="240"/>
      <c r="M27" s="240"/>
      <c r="N27" s="240"/>
      <c r="O27" s="240"/>
      <c r="P27" s="240"/>
      <c r="Q27" s="240"/>
      <c r="R27" s="240"/>
      <c r="S27" s="240"/>
      <c r="T27" s="283"/>
      <c r="U27" s="288"/>
      <c r="V27" s="284"/>
      <c r="W27" s="240">
        <v>5100064797</v>
      </c>
      <c r="X27" s="240"/>
      <c r="Y27" s="290" t="s">
        <v>440</v>
      </c>
      <c r="Z27" s="293" t="s">
        <v>239</v>
      </c>
      <c r="AA27" s="240">
        <v>6060</v>
      </c>
      <c r="AB27" s="4"/>
      <c r="AC27" s="240"/>
      <c r="AD27" s="4"/>
      <c r="AE27" s="240"/>
      <c r="AF27" s="4"/>
      <c r="AG27" s="240"/>
      <c r="AH27" s="240">
        <v>841594</v>
      </c>
      <c r="AI27" s="240"/>
      <c r="AJ27" s="240"/>
      <c r="AK27" s="240"/>
      <c r="AL27" s="240">
        <v>40</v>
      </c>
      <c r="AM27" s="240">
        <v>13972780</v>
      </c>
      <c r="AN27" s="240">
        <v>11063047</v>
      </c>
      <c r="AO27" s="241"/>
      <c r="AP27" s="302" t="s">
        <v>440</v>
      </c>
      <c r="AQ27" s="302">
        <v>62.97</v>
      </c>
      <c r="AR27" s="536" t="s">
        <v>148</v>
      </c>
    </row>
    <row r="28" spans="1:44" ht="23.25" customHeight="1" x14ac:dyDescent="0.15">
      <c r="A28">
        <v>23</v>
      </c>
      <c r="B28" s="323" t="s">
        <v>93</v>
      </c>
      <c r="C28" s="324" t="s">
        <v>332</v>
      </c>
      <c r="D28" s="325" t="s">
        <v>35</v>
      </c>
      <c r="E28" s="326" t="s">
        <v>36</v>
      </c>
      <c r="F28" s="240">
        <v>28700817517</v>
      </c>
      <c r="G28" s="240">
        <v>2387226471</v>
      </c>
      <c r="H28" s="240">
        <v>1483139636</v>
      </c>
      <c r="I28" s="283">
        <v>23375353688</v>
      </c>
      <c r="J28" s="285">
        <v>4120</v>
      </c>
      <c r="K28" s="284">
        <v>55946537312</v>
      </c>
      <c r="L28" s="240"/>
      <c r="M28" s="240"/>
      <c r="N28" s="240"/>
      <c r="O28" s="240"/>
      <c r="P28" s="240"/>
      <c r="Q28" s="240"/>
      <c r="R28" s="240"/>
      <c r="S28" s="240"/>
      <c r="T28" s="283"/>
      <c r="U28" s="288"/>
      <c r="V28" s="284"/>
      <c r="W28" s="240">
        <v>55946537312</v>
      </c>
      <c r="X28" s="240">
        <v>3310000200</v>
      </c>
      <c r="Y28" s="290">
        <v>5.92</v>
      </c>
      <c r="Z28" s="5" t="s">
        <v>240</v>
      </c>
      <c r="AA28" s="240">
        <v>94737709</v>
      </c>
      <c r="AB28" s="4"/>
      <c r="AC28" s="240"/>
      <c r="AD28" s="4"/>
      <c r="AE28" s="240"/>
      <c r="AF28" s="4"/>
      <c r="AG28" s="240"/>
      <c r="AH28" s="240">
        <v>590</v>
      </c>
      <c r="AI28" s="240"/>
      <c r="AJ28" s="240"/>
      <c r="AK28" s="240"/>
      <c r="AL28" s="240">
        <v>440</v>
      </c>
      <c r="AM28" s="240">
        <v>153278184</v>
      </c>
      <c r="AN28" s="240">
        <v>13579256</v>
      </c>
      <c r="AO28" s="240"/>
      <c r="AP28" s="302" t="s">
        <v>440</v>
      </c>
      <c r="AQ28" s="302">
        <v>51.3</v>
      </c>
      <c r="AR28" s="536" t="s">
        <v>148</v>
      </c>
    </row>
    <row r="29" spans="1:44" ht="23.25" customHeight="1" x14ac:dyDescent="0.15">
      <c r="A29">
        <v>24</v>
      </c>
      <c r="B29" s="328" t="s">
        <v>97</v>
      </c>
      <c r="C29" s="327" t="s">
        <v>428</v>
      </c>
      <c r="D29" s="328" t="s">
        <v>338</v>
      </c>
      <c r="E29" s="328" t="s">
        <v>339</v>
      </c>
      <c r="F29" s="240">
        <v>27045574</v>
      </c>
      <c r="G29" s="240">
        <v>33443054</v>
      </c>
      <c r="H29" s="240">
        <v>314174</v>
      </c>
      <c r="I29" s="283">
        <v>53784135</v>
      </c>
      <c r="J29" s="286">
        <v>2.4</v>
      </c>
      <c r="K29" s="284">
        <v>114586938</v>
      </c>
      <c r="L29" s="240"/>
      <c r="M29" s="240"/>
      <c r="N29" s="240"/>
      <c r="O29" s="240"/>
      <c r="P29" s="240"/>
      <c r="Q29" s="240"/>
      <c r="R29" s="240"/>
      <c r="S29" s="240"/>
      <c r="T29" s="283"/>
      <c r="U29" s="296"/>
      <c r="V29" s="284"/>
      <c r="W29" s="240">
        <v>114586938</v>
      </c>
      <c r="X29" s="240"/>
      <c r="Y29" s="290"/>
      <c r="Z29" s="327" t="s">
        <v>360</v>
      </c>
      <c r="AA29" s="240">
        <v>57</v>
      </c>
      <c r="AB29" s="327" t="s">
        <v>361</v>
      </c>
      <c r="AC29" s="240">
        <v>156</v>
      </c>
      <c r="AD29" s="4"/>
      <c r="AE29" s="240"/>
      <c r="AF29" s="4"/>
      <c r="AG29" s="240"/>
      <c r="AH29" s="240">
        <v>2010297</v>
      </c>
      <c r="AI29" s="240">
        <v>734531</v>
      </c>
      <c r="AJ29" s="240" t="s">
        <v>440</v>
      </c>
      <c r="AK29" s="240" t="s">
        <v>440</v>
      </c>
      <c r="AL29" s="310">
        <v>0.9</v>
      </c>
      <c r="AM29" s="240">
        <v>313936</v>
      </c>
      <c r="AN29" s="240">
        <v>47744557</v>
      </c>
      <c r="AO29" s="240"/>
      <c r="AP29" s="302"/>
      <c r="AQ29" s="302">
        <v>23.6</v>
      </c>
      <c r="AR29" s="536" t="s">
        <v>148</v>
      </c>
    </row>
    <row r="30" spans="1:44" ht="23.25" customHeight="1" x14ac:dyDescent="0.15">
      <c r="A30">
        <v>25</v>
      </c>
      <c r="B30" s="328" t="s">
        <v>97</v>
      </c>
      <c r="C30" s="327" t="s">
        <v>427</v>
      </c>
      <c r="D30" s="328" t="s">
        <v>338</v>
      </c>
      <c r="E30" s="328" t="s">
        <v>339</v>
      </c>
      <c r="F30" s="240">
        <v>348310</v>
      </c>
      <c r="G30" s="240">
        <v>2221565</v>
      </c>
      <c r="H30" s="240">
        <v>11165</v>
      </c>
      <c r="I30" s="283">
        <v>5697865</v>
      </c>
      <c r="J30" s="287">
        <v>0.05</v>
      </c>
      <c r="K30" s="284">
        <v>8278907</v>
      </c>
      <c r="L30" s="240"/>
      <c r="M30" s="240"/>
      <c r="N30" s="240"/>
      <c r="O30" s="240"/>
      <c r="P30" s="240"/>
      <c r="Q30" s="240"/>
      <c r="R30" s="240"/>
      <c r="S30" s="240"/>
      <c r="T30" s="283"/>
      <c r="U30" s="288"/>
      <c r="V30" s="284"/>
      <c r="W30" s="240">
        <v>8278907</v>
      </c>
      <c r="X30" s="240"/>
      <c r="Y30" s="290"/>
      <c r="Z30" s="499" t="s">
        <v>363</v>
      </c>
      <c r="AA30" s="240">
        <v>35</v>
      </c>
      <c r="AB30" s="4" t="s">
        <v>443</v>
      </c>
      <c r="AC30" s="240">
        <v>4</v>
      </c>
      <c r="AD30" s="4" t="s">
        <v>361</v>
      </c>
      <c r="AE30" s="240">
        <v>158</v>
      </c>
      <c r="AF30" s="4"/>
      <c r="AG30" s="240"/>
      <c r="AH30" s="240">
        <v>236540</v>
      </c>
      <c r="AI30" s="240">
        <v>2069726</v>
      </c>
      <c r="AJ30" s="240">
        <v>52398</v>
      </c>
      <c r="AK30" s="240" t="s">
        <v>440</v>
      </c>
      <c r="AL30" s="311">
        <v>0.06</v>
      </c>
      <c r="AM30" s="240">
        <v>22681</v>
      </c>
      <c r="AN30" s="240" t="s">
        <v>440</v>
      </c>
      <c r="AO30" s="241"/>
      <c r="AP30" s="302"/>
      <c r="AQ30" s="302">
        <v>4.21</v>
      </c>
      <c r="AR30" s="536" t="s">
        <v>148</v>
      </c>
    </row>
    <row r="31" spans="1:44" ht="23.25" customHeight="1" x14ac:dyDescent="0.15">
      <c r="A31">
        <v>26</v>
      </c>
      <c r="B31" s="328" t="s">
        <v>97</v>
      </c>
      <c r="C31" s="327" t="s">
        <v>355</v>
      </c>
      <c r="D31" s="328" t="s">
        <v>338</v>
      </c>
      <c r="E31" s="328" t="s">
        <v>339</v>
      </c>
      <c r="F31" s="240">
        <v>2771765</v>
      </c>
      <c r="G31" s="240">
        <v>3451010</v>
      </c>
      <c r="H31" s="240">
        <v>22445</v>
      </c>
      <c r="I31" s="283">
        <v>14467158</v>
      </c>
      <c r="J31" s="287">
        <v>0.22</v>
      </c>
      <c r="K31" s="284">
        <v>20712379</v>
      </c>
      <c r="L31" s="240"/>
      <c r="M31" s="240"/>
      <c r="N31" s="240"/>
      <c r="O31" s="240"/>
      <c r="P31" s="240"/>
      <c r="Q31" s="240"/>
      <c r="R31" s="240"/>
      <c r="S31" s="240"/>
      <c r="T31" s="283"/>
      <c r="U31" s="288"/>
      <c r="V31" s="284"/>
      <c r="W31" s="240">
        <v>20712379</v>
      </c>
      <c r="X31" s="240"/>
      <c r="Y31" s="290"/>
      <c r="Z31" s="5" t="s">
        <v>360</v>
      </c>
      <c r="AA31" s="240">
        <v>8</v>
      </c>
      <c r="AB31" s="498" t="s">
        <v>362</v>
      </c>
      <c r="AC31" s="240">
        <v>28</v>
      </c>
      <c r="AD31" s="4"/>
      <c r="AE31" s="240"/>
      <c r="AF31" s="4"/>
      <c r="AG31" s="240"/>
      <c r="AH31" s="240">
        <v>2589047</v>
      </c>
      <c r="AI31" s="240">
        <v>739727</v>
      </c>
      <c r="AJ31" s="240" t="s">
        <v>440</v>
      </c>
      <c r="AK31" s="240" t="s">
        <v>440</v>
      </c>
      <c r="AL31" s="310">
        <v>0.1</v>
      </c>
      <c r="AM31" s="240">
        <v>56746</v>
      </c>
      <c r="AN31" s="240" t="s">
        <v>440</v>
      </c>
      <c r="AO31" s="241"/>
      <c r="AP31" s="302"/>
      <c r="AQ31" s="302">
        <v>13.38</v>
      </c>
      <c r="AR31" s="536" t="s">
        <v>148</v>
      </c>
    </row>
    <row r="32" spans="1:44" ht="23.25" customHeight="1" x14ac:dyDescent="0.15">
      <c r="A32">
        <v>27</v>
      </c>
      <c r="B32" s="323" t="s">
        <v>98</v>
      </c>
      <c r="C32" s="324" t="s">
        <v>99</v>
      </c>
      <c r="D32" s="325" t="s">
        <v>35</v>
      </c>
      <c r="E32" s="326" t="s">
        <v>36</v>
      </c>
      <c r="F32" s="240">
        <v>4402649677</v>
      </c>
      <c r="G32" s="240">
        <v>157707100</v>
      </c>
      <c r="H32" s="240">
        <v>124954650</v>
      </c>
      <c r="I32" s="283">
        <v>377449506</v>
      </c>
      <c r="J32" s="285">
        <v>632</v>
      </c>
      <c r="K32" s="284">
        <v>5062760933</v>
      </c>
      <c r="L32" s="240"/>
      <c r="M32" s="240"/>
      <c r="N32" s="240"/>
      <c r="O32" s="240"/>
      <c r="P32" s="240"/>
      <c r="Q32" s="240"/>
      <c r="R32" s="240"/>
      <c r="S32" s="240"/>
      <c r="T32" s="283"/>
      <c r="U32" s="288"/>
      <c r="V32" s="284"/>
      <c r="W32" s="240">
        <v>5062760933</v>
      </c>
      <c r="X32" s="240"/>
      <c r="Y32" s="290" t="s">
        <v>440</v>
      </c>
      <c r="Z32" s="293" t="s">
        <v>458</v>
      </c>
      <c r="AA32" s="240">
        <v>5684852</v>
      </c>
      <c r="AB32" s="4"/>
      <c r="AC32" s="240"/>
      <c r="AD32" s="4"/>
      <c r="AE32" s="240"/>
      <c r="AF32" s="4"/>
      <c r="AG32" s="240"/>
      <c r="AH32" s="240">
        <v>890</v>
      </c>
      <c r="AI32" s="240"/>
      <c r="AJ32" s="240"/>
      <c r="AK32" s="240"/>
      <c r="AL32" s="240">
        <v>39</v>
      </c>
      <c r="AM32" s="240">
        <v>13870577</v>
      </c>
      <c r="AN32" s="240">
        <v>8010697</v>
      </c>
      <c r="AO32" s="241"/>
      <c r="AP32" s="302" t="s">
        <v>440</v>
      </c>
      <c r="AQ32" s="302">
        <v>86.96</v>
      </c>
      <c r="AR32" s="536" t="s">
        <v>148</v>
      </c>
    </row>
    <row r="33" spans="1:44" ht="23.25" customHeight="1" x14ac:dyDescent="0.15">
      <c r="A33">
        <v>28</v>
      </c>
      <c r="B33" s="328" t="s">
        <v>98</v>
      </c>
      <c r="C33" s="327" t="s">
        <v>354</v>
      </c>
      <c r="D33" s="328" t="s">
        <v>338</v>
      </c>
      <c r="E33" s="328" t="s">
        <v>339</v>
      </c>
      <c r="F33" s="240">
        <v>38450756</v>
      </c>
      <c r="G33" s="240">
        <v>143144000</v>
      </c>
      <c r="H33" s="240">
        <v>1091297</v>
      </c>
      <c r="I33" s="283">
        <v>30767000</v>
      </c>
      <c r="J33" s="285">
        <v>5.5</v>
      </c>
      <c r="K33" s="284">
        <v>213453054</v>
      </c>
      <c r="L33" s="240"/>
      <c r="M33" s="240"/>
      <c r="N33" s="240"/>
      <c r="O33" s="240"/>
      <c r="P33" s="240"/>
      <c r="Q33" s="240"/>
      <c r="R33" s="240"/>
      <c r="S33" s="240"/>
      <c r="T33" s="283"/>
      <c r="U33" s="295"/>
      <c r="V33" s="284"/>
      <c r="W33" s="240">
        <v>213453054</v>
      </c>
      <c r="X33" s="240">
        <v>178420000</v>
      </c>
      <c r="Y33" s="290">
        <v>83.59</v>
      </c>
      <c r="Z33" s="297" t="s">
        <v>364</v>
      </c>
      <c r="AA33" s="240">
        <v>44044</v>
      </c>
      <c r="AB33" s="4" t="s">
        <v>374</v>
      </c>
      <c r="AC33" s="240">
        <v>35589</v>
      </c>
      <c r="AD33" s="4"/>
      <c r="AE33" s="240"/>
      <c r="AF33" s="4"/>
      <c r="AG33" s="240"/>
      <c r="AH33" s="240">
        <v>4846</v>
      </c>
      <c r="AI33" s="240">
        <v>5997</v>
      </c>
      <c r="AJ33" s="240" t="s">
        <v>440</v>
      </c>
      <c r="AK33" s="240" t="s">
        <v>440</v>
      </c>
      <c r="AL33" s="240">
        <v>1</v>
      </c>
      <c r="AM33" s="240">
        <v>584802</v>
      </c>
      <c r="AN33" s="240">
        <v>38671813</v>
      </c>
      <c r="AO33" s="240"/>
      <c r="AP33" s="302"/>
      <c r="AQ33" s="302">
        <v>18.010000000000002</v>
      </c>
      <c r="AR33" s="536" t="s">
        <v>148</v>
      </c>
    </row>
    <row r="34" spans="1:44" ht="23.25" customHeight="1" x14ac:dyDescent="0.15">
      <c r="A34">
        <v>29</v>
      </c>
      <c r="B34" s="323" t="s">
        <v>98</v>
      </c>
      <c r="C34" s="324" t="s">
        <v>100</v>
      </c>
      <c r="D34" s="325" t="s">
        <v>35</v>
      </c>
      <c r="E34" s="326" t="s">
        <v>36</v>
      </c>
      <c r="F34" s="240">
        <v>18766990871</v>
      </c>
      <c r="G34" s="240">
        <v>1174337278</v>
      </c>
      <c r="H34" s="240">
        <v>1442187654</v>
      </c>
      <c r="I34" s="283">
        <v>8267131031</v>
      </c>
      <c r="J34" s="285"/>
      <c r="K34" s="284">
        <v>29650646836</v>
      </c>
      <c r="L34" s="240"/>
      <c r="M34" s="240"/>
      <c r="N34" s="240"/>
      <c r="O34" s="240"/>
      <c r="P34" s="240"/>
      <c r="Q34" s="240"/>
      <c r="R34" s="240"/>
      <c r="S34" s="240"/>
      <c r="T34" s="283"/>
      <c r="U34" s="288"/>
      <c r="V34" s="284"/>
      <c r="W34" s="240">
        <v>29650646836</v>
      </c>
      <c r="X34" s="240"/>
      <c r="Y34" s="290" t="s">
        <v>440</v>
      </c>
      <c r="Z34" s="496" t="s">
        <v>459</v>
      </c>
      <c r="AA34" s="240">
        <v>82907953</v>
      </c>
      <c r="AB34" s="4"/>
      <c r="AC34" s="240"/>
      <c r="AD34" s="4"/>
      <c r="AE34" s="240"/>
      <c r="AF34" s="4"/>
      <c r="AG34" s="240"/>
      <c r="AH34" s="240">
        <v>357</v>
      </c>
      <c r="AI34" s="240"/>
      <c r="AJ34" s="240"/>
      <c r="AK34" s="240"/>
      <c r="AL34" s="240">
        <v>233</v>
      </c>
      <c r="AM34" s="240">
        <v>81234648</v>
      </c>
      <c r="AN34" s="240"/>
      <c r="AO34" s="240"/>
      <c r="AP34" s="302" t="s">
        <v>440</v>
      </c>
      <c r="AQ34" s="302">
        <v>63.29</v>
      </c>
      <c r="AR34" s="536" t="s">
        <v>148</v>
      </c>
    </row>
    <row r="35" spans="1:44" ht="23.25" customHeight="1" x14ac:dyDescent="0.15">
      <c r="A35">
        <v>30</v>
      </c>
      <c r="B35" s="323" t="s">
        <v>98</v>
      </c>
      <c r="C35" s="324" t="s">
        <v>101</v>
      </c>
      <c r="D35" s="325" t="s">
        <v>35</v>
      </c>
      <c r="E35" s="326" t="s">
        <v>36</v>
      </c>
      <c r="F35" s="240">
        <v>9195407554</v>
      </c>
      <c r="G35" s="240">
        <v>575399112</v>
      </c>
      <c r="H35" s="240">
        <v>706639830</v>
      </c>
      <c r="I35" s="283">
        <v>5192739703</v>
      </c>
      <c r="J35" s="285">
        <v>1320</v>
      </c>
      <c r="K35" s="284">
        <v>15670186199</v>
      </c>
      <c r="L35" s="240"/>
      <c r="M35" s="240"/>
      <c r="N35" s="240"/>
      <c r="O35" s="240"/>
      <c r="P35" s="240"/>
      <c r="Q35" s="240"/>
      <c r="R35" s="240"/>
      <c r="S35" s="240"/>
      <c r="T35" s="283"/>
      <c r="U35" s="295"/>
      <c r="V35" s="284"/>
      <c r="W35" s="240">
        <v>15670186199</v>
      </c>
      <c r="X35" s="240"/>
      <c r="Y35" s="290" t="s">
        <v>440</v>
      </c>
      <c r="Z35" s="309" t="s">
        <v>460</v>
      </c>
      <c r="AA35" s="240">
        <v>46857610</v>
      </c>
      <c r="AB35" s="4"/>
      <c r="AC35" s="240"/>
      <c r="AD35" s="4"/>
      <c r="AE35" s="240"/>
      <c r="AF35" s="4"/>
      <c r="AG35" s="240"/>
      <c r="AH35" s="240">
        <v>334</v>
      </c>
      <c r="AI35" s="240"/>
      <c r="AJ35" s="240"/>
      <c r="AK35" s="240"/>
      <c r="AL35" s="240">
        <v>123</v>
      </c>
      <c r="AM35" s="240">
        <v>42932016</v>
      </c>
      <c r="AN35" s="240">
        <v>11871353</v>
      </c>
      <c r="AO35" s="240"/>
      <c r="AP35" s="302" t="s">
        <v>440</v>
      </c>
      <c r="AQ35" s="302">
        <v>58.68</v>
      </c>
      <c r="AR35" s="536" t="s">
        <v>148</v>
      </c>
    </row>
    <row r="36" spans="1:44" ht="23.25" customHeight="1" x14ac:dyDescent="0.15">
      <c r="A36">
        <v>31</v>
      </c>
      <c r="B36" s="328" t="s">
        <v>102</v>
      </c>
      <c r="C36" s="327" t="s">
        <v>430</v>
      </c>
      <c r="D36" s="328" t="s">
        <v>338</v>
      </c>
      <c r="E36" s="328" t="s">
        <v>345</v>
      </c>
      <c r="F36" s="240"/>
      <c r="G36" s="240"/>
      <c r="H36" s="240"/>
      <c r="I36" s="283"/>
      <c r="J36" s="285"/>
      <c r="K36" s="284"/>
      <c r="L36" s="240">
        <v>50275825</v>
      </c>
      <c r="M36" s="240">
        <v>22526112</v>
      </c>
      <c r="N36" s="240">
        <v>21299730</v>
      </c>
      <c r="O36" s="240">
        <v>3731917</v>
      </c>
      <c r="P36" s="240">
        <v>71575555</v>
      </c>
      <c r="Q36" s="240">
        <v>81574</v>
      </c>
      <c r="R36" s="240">
        <v>26258029</v>
      </c>
      <c r="S36" s="240">
        <v>888276</v>
      </c>
      <c r="T36" s="283">
        <v>767855</v>
      </c>
      <c r="U36" s="288">
        <v>11</v>
      </c>
      <c r="V36" s="284">
        <v>99571291</v>
      </c>
      <c r="W36" s="240">
        <v>99571291</v>
      </c>
      <c r="X36" s="240">
        <v>1332026</v>
      </c>
      <c r="Y36" s="290">
        <v>1.34</v>
      </c>
      <c r="Z36" s="297" t="s">
        <v>365</v>
      </c>
      <c r="AA36" s="240">
        <v>1603</v>
      </c>
      <c r="AB36" s="4" t="s">
        <v>444</v>
      </c>
      <c r="AC36" s="240">
        <v>7</v>
      </c>
      <c r="AD36" s="4"/>
      <c r="AE36" s="240"/>
      <c r="AF36" s="4"/>
      <c r="AG36" s="240"/>
      <c r="AH36" s="240">
        <v>62115</v>
      </c>
      <c r="AI36" s="240">
        <v>14224470</v>
      </c>
      <c r="AJ36" s="240" t="s">
        <v>440</v>
      </c>
      <c r="AK36" s="240" t="s">
        <v>440</v>
      </c>
      <c r="AL36" s="310">
        <v>0.7</v>
      </c>
      <c r="AM36" s="240">
        <v>272798</v>
      </c>
      <c r="AN36" s="240">
        <v>9051935</v>
      </c>
      <c r="AO36" s="240"/>
      <c r="AP36" s="302"/>
      <c r="AQ36" s="302">
        <v>71.97</v>
      </c>
      <c r="AR36" s="537" t="s">
        <v>149</v>
      </c>
    </row>
    <row r="37" spans="1:44" ht="23.25" customHeight="1" x14ac:dyDescent="0.15">
      <c r="A37">
        <v>32</v>
      </c>
      <c r="B37" s="323" t="s">
        <v>102</v>
      </c>
      <c r="C37" s="324" t="s">
        <v>224</v>
      </c>
      <c r="D37" s="325" t="s">
        <v>35</v>
      </c>
      <c r="E37" s="326" t="s">
        <v>36</v>
      </c>
      <c r="F37" s="240">
        <v>8359461</v>
      </c>
      <c r="G37" s="240">
        <v>12309533</v>
      </c>
      <c r="H37" s="240">
        <v>927139</v>
      </c>
      <c r="I37" s="283">
        <v>105193275</v>
      </c>
      <c r="J37" s="285">
        <v>1.2</v>
      </c>
      <c r="K37" s="284">
        <v>126789408</v>
      </c>
      <c r="L37" s="240"/>
      <c r="M37" s="240"/>
      <c r="N37" s="240"/>
      <c r="O37" s="240"/>
      <c r="P37" s="240"/>
      <c r="Q37" s="240"/>
      <c r="R37" s="240"/>
      <c r="S37" s="240"/>
      <c r="T37" s="283"/>
      <c r="U37" s="288"/>
      <c r="V37" s="284"/>
      <c r="W37" s="240">
        <v>126789408</v>
      </c>
      <c r="X37" s="240">
        <v>25371600</v>
      </c>
      <c r="Y37" s="290">
        <v>20.010000000000002</v>
      </c>
      <c r="Z37" s="502" t="s">
        <v>359</v>
      </c>
      <c r="AA37" s="240">
        <v>1932</v>
      </c>
      <c r="AB37" s="4" t="s">
        <v>241</v>
      </c>
      <c r="AC37" s="240">
        <v>1681</v>
      </c>
      <c r="AD37" s="4"/>
      <c r="AE37" s="240"/>
      <c r="AF37" s="4"/>
      <c r="AG37" s="240"/>
      <c r="AH37" s="240">
        <v>65625</v>
      </c>
      <c r="AI37" s="240">
        <v>75424</v>
      </c>
      <c r="AJ37" s="240"/>
      <c r="AK37" s="240"/>
      <c r="AL37" s="310">
        <v>0.9</v>
      </c>
      <c r="AM37" s="240">
        <v>347368</v>
      </c>
      <c r="AN37" s="240">
        <v>105657840</v>
      </c>
      <c r="AO37" s="240"/>
      <c r="AP37" s="302" t="s">
        <v>440</v>
      </c>
      <c r="AQ37" s="302">
        <v>6.59</v>
      </c>
      <c r="AR37" s="537" t="s">
        <v>148</v>
      </c>
    </row>
    <row r="38" spans="1:44" ht="23.25" customHeight="1" x14ac:dyDescent="0.15">
      <c r="A38">
        <v>33</v>
      </c>
      <c r="B38" s="328" t="s">
        <v>102</v>
      </c>
      <c r="C38" s="327" t="s">
        <v>429</v>
      </c>
      <c r="D38" s="328" t="s">
        <v>338</v>
      </c>
      <c r="E38" s="328" t="s">
        <v>345</v>
      </c>
      <c r="F38" s="240">
        <v>696621</v>
      </c>
      <c r="G38" s="240">
        <v>1025794</v>
      </c>
      <c r="H38" s="240">
        <v>77261</v>
      </c>
      <c r="I38" s="283"/>
      <c r="J38" s="285">
        <v>0.1</v>
      </c>
      <c r="K38" s="284">
        <v>1799677</v>
      </c>
      <c r="L38" s="240">
        <v>99919570</v>
      </c>
      <c r="M38" s="240">
        <v>362185803</v>
      </c>
      <c r="N38" s="240">
        <v>91147589</v>
      </c>
      <c r="O38" s="240">
        <v>104869936</v>
      </c>
      <c r="P38" s="240">
        <v>191067159</v>
      </c>
      <c r="Q38" s="240">
        <v>6981</v>
      </c>
      <c r="R38" s="240">
        <v>467055739</v>
      </c>
      <c r="S38" s="240">
        <v>34805593</v>
      </c>
      <c r="T38" s="283"/>
      <c r="U38" s="288">
        <v>21</v>
      </c>
      <c r="V38" s="284">
        <v>692935472</v>
      </c>
      <c r="W38" s="240">
        <v>694735150</v>
      </c>
      <c r="X38" s="240">
        <v>148242163</v>
      </c>
      <c r="Y38" s="290">
        <v>21.34</v>
      </c>
      <c r="Z38" s="5" t="s">
        <v>365</v>
      </c>
      <c r="AA38" s="240">
        <v>8213</v>
      </c>
      <c r="AB38" s="4" t="s">
        <v>497</v>
      </c>
      <c r="AC38" s="240">
        <v>68</v>
      </c>
      <c r="AD38" s="4"/>
      <c r="AE38" s="240"/>
      <c r="AF38" s="4"/>
      <c r="AG38" s="240"/>
      <c r="AH38" s="240">
        <v>84589</v>
      </c>
      <c r="AI38" s="240">
        <v>10216693</v>
      </c>
      <c r="AJ38" s="240" t="s">
        <v>440</v>
      </c>
      <c r="AK38" s="240" t="s">
        <v>440</v>
      </c>
      <c r="AL38" s="240">
        <v>5</v>
      </c>
      <c r="AM38" s="240">
        <v>1903383</v>
      </c>
      <c r="AN38" s="240">
        <v>32925836</v>
      </c>
      <c r="AO38" s="240"/>
      <c r="AP38" s="302"/>
      <c r="AQ38" s="302">
        <v>27.6</v>
      </c>
      <c r="AR38" s="537" t="s">
        <v>149</v>
      </c>
    </row>
    <row r="39" spans="1:44" ht="23.25" customHeight="1" x14ac:dyDescent="0.15">
      <c r="A39">
        <v>34</v>
      </c>
      <c r="B39" s="328" t="s">
        <v>102</v>
      </c>
      <c r="C39" s="327" t="s">
        <v>431</v>
      </c>
      <c r="D39" s="328" t="s">
        <v>338</v>
      </c>
      <c r="E39" s="328" t="s">
        <v>345</v>
      </c>
      <c r="F39" s="240"/>
      <c r="G39" s="240"/>
      <c r="H39" s="240"/>
      <c r="I39" s="283"/>
      <c r="J39" s="286"/>
      <c r="K39" s="284"/>
      <c r="L39" s="240">
        <v>1806806135</v>
      </c>
      <c r="M39" s="240">
        <v>3504173234</v>
      </c>
      <c r="N39" s="240">
        <v>1316565364</v>
      </c>
      <c r="O39" s="240">
        <v>839780092</v>
      </c>
      <c r="P39" s="240">
        <v>3123371499</v>
      </c>
      <c r="Q39" s="240">
        <v>-4870154</v>
      </c>
      <c r="R39" s="240">
        <v>4343953326</v>
      </c>
      <c r="S39" s="240">
        <v>2304074254</v>
      </c>
      <c r="T39" s="283">
        <v>2226689</v>
      </c>
      <c r="U39" s="296">
        <v>315</v>
      </c>
      <c r="V39" s="284">
        <v>9768755614</v>
      </c>
      <c r="W39" s="240">
        <v>9768755614</v>
      </c>
      <c r="X39" s="240">
        <v>1826567984</v>
      </c>
      <c r="Y39" s="290">
        <v>18.7</v>
      </c>
      <c r="Z39" s="5" t="s">
        <v>445</v>
      </c>
      <c r="AA39" s="240">
        <v>5084149</v>
      </c>
      <c r="AB39" s="4" t="s">
        <v>446</v>
      </c>
      <c r="AC39" s="240">
        <v>331</v>
      </c>
      <c r="AD39" s="4"/>
      <c r="AE39" s="240"/>
      <c r="AF39" s="4"/>
      <c r="AG39" s="240"/>
      <c r="AH39" s="240">
        <v>1921</v>
      </c>
      <c r="AI39" s="240">
        <v>29512856</v>
      </c>
      <c r="AJ39" s="240" t="s">
        <v>440</v>
      </c>
      <c r="AK39" s="240" t="s">
        <v>440</v>
      </c>
      <c r="AL39" s="240">
        <v>76</v>
      </c>
      <c r="AM39" s="240">
        <v>26763714</v>
      </c>
      <c r="AN39" s="240">
        <v>31011922</v>
      </c>
      <c r="AO39" s="240"/>
      <c r="AP39" s="302"/>
      <c r="AQ39" s="302">
        <v>31.92</v>
      </c>
      <c r="AR39" s="537" t="s">
        <v>149</v>
      </c>
    </row>
    <row r="40" spans="1:44" ht="23.25" customHeight="1" x14ac:dyDescent="0.15">
      <c r="A40">
        <v>35</v>
      </c>
      <c r="B40" s="328" t="s">
        <v>102</v>
      </c>
      <c r="C40" s="327" t="s">
        <v>435</v>
      </c>
      <c r="D40" s="328" t="s">
        <v>338</v>
      </c>
      <c r="E40" s="328" t="s">
        <v>345</v>
      </c>
      <c r="F40" s="240"/>
      <c r="G40" s="240"/>
      <c r="H40" s="240"/>
      <c r="I40" s="283"/>
      <c r="J40" s="285"/>
      <c r="K40" s="284"/>
      <c r="L40" s="240">
        <v>196402243</v>
      </c>
      <c r="M40" s="240">
        <v>44211070</v>
      </c>
      <c r="N40" s="240"/>
      <c r="O40" s="240"/>
      <c r="P40" s="240">
        <v>196402243</v>
      </c>
      <c r="Q40" s="240">
        <v>-5306941</v>
      </c>
      <c r="R40" s="240">
        <v>44211070</v>
      </c>
      <c r="S40" s="240">
        <v>33121583</v>
      </c>
      <c r="T40" s="283"/>
      <c r="U40" s="295">
        <v>18.2</v>
      </c>
      <c r="V40" s="284">
        <v>268427955</v>
      </c>
      <c r="W40" s="240">
        <v>268427955</v>
      </c>
      <c r="X40" s="240">
        <v>1741147</v>
      </c>
      <c r="Y40" s="290">
        <v>0.65</v>
      </c>
      <c r="Z40" s="293" t="s">
        <v>379</v>
      </c>
      <c r="AA40" s="240">
        <v>10</v>
      </c>
      <c r="AB40" s="4"/>
      <c r="AC40" s="240"/>
      <c r="AD40" s="4"/>
      <c r="AE40" s="240"/>
      <c r="AF40" s="4"/>
      <c r="AG40" s="240"/>
      <c r="AH40" s="240">
        <v>26842795</v>
      </c>
      <c r="AI40" s="240" t="s">
        <v>440</v>
      </c>
      <c r="AJ40" s="240" t="s">
        <v>440</v>
      </c>
      <c r="AK40" s="240" t="s">
        <v>440</v>
      </c>
      <c r="AL40" s="240">
        <v>2</v>
      </c>
      <c r="AM40" s="240">
        <v>735419</v>
      </c>
      <c r="AN40" s="240">
        <v>14748788</v>
      </c>
      <c r="AO40" s="240"/>
      <c r="AP40" s="302"/>
      <c r="AQ40" s="302">
        <v>71.19</v>
      </c>
      <c r="AR40" s="537" t="s">
        <v>149</v>
      </c>
    </row>
    <row r="41" spans="1:44" s="482" customFormat="1" ht="23.25" customHeight="1" x14ac:dyDescent="0.15">
      <c r="A41">
        <v>36</v>
      </c>
      <c r="B41" s="328" t="s">
        <v>102</v>
      </c>
      <c r="C41" s="327" t="s">
        <v>436</v>
      </c>
      <c r="D41" s="328" t="s">
        <v>338</v>
      </c>
      <c r="E41" s="328" t="s">
        <v>345</v>
      </c>
      <c r="F41" s="240"/>
      <c r="G41" s="240"/>
      <c r="H41" s="240"/>
      <c r="I41" s="283"/>
      <c r="J41" s="285"/>
      <c r="K41" s="284"/>
      <c r="L41" s="240">
        <v>140108202</v>
      </c>
      <c r="M41" s="240">
        <v>62295719</v>
      </c>
      <c r="N41" s="240"/>
      <c r="O41" s="240"/>
      <c r="P41" s="240">
        <v>140108202</v>
      </c>
      <c r="Q41" s="240">
        <v>-225532</v>
      </c>
      <c r="R41" s="240">
        <v>62295719</v>
      </c>
      <c r="S41" s="240">
        <v>22020393</v>
      </c>
      <c r="T41" s="283"/>
      <c r="U41" s="288">
        <v>12.1</v>
      </c>
      <c r="V41" s="284">
        <v>224198782</v>
      </c>
      <c r="W41" s="240">
        <v>224198782</v>
      </c>
      <c r="X41" s="240"/>
      <c r="Y41" s="290"/>
      <c r="Z41" s="5" t="s">
        <v>447</v>
      </c>
      <c r="AA41" s="240">
        <v>7</v>
      </c>
      <c r="AB41" s="4"/>
      <c r="AC41" s="240"/>
      <c r="AD41" s="4"/>
      <c r="AE41" s="240"/>
      <c r="AF41" s="4"/>
      <c r="AG41" s="240"/>
      <c r="AH41" s="240">
        <v>32028397</v>
      </c>
      <c r="AI41" s="240" t="s">
        <v>440</v>
      </c>
      <c r="AJ41" s="240" t="s">
        <v>440</v>
      </c>
      <c r="AK41" s="240" t="s">
        <v>440</v>
      </c>
      <c r="AL41" s="240">
        <v>1</v>
      </c>
      <c r="AM41" s="240">
        <v>614243</v>
      </c>
      <c r="AN41" s="240">
        <v>18528824</v>
      </c>
      <c r="AO41" s="241"/>
      <c r="AP41" s="302"/>
      <c r="AQ41" s="302">
        <v>62.39</v>
      </c>
      <c r="AR41" s="537" t="s">
        <v>149</v>
      </c>
    </row>
    <row r="42" spans="1:44" ht="23.25" customHeight="1" x14ac:dyDescent="0.15">
      <c r="A42">
        <v>37</v>
      </c>
      <c r="B42" s="328" t="s">
        <v>102</v>
      </c>
      <c r="C42" s="327" t="s">
        <v>432</v>
      </c>
      <c r="D42" s="328" t="s">
        <v>338</v>
      </c>
      <c r="E42" s="328" t="s">
        <v>345</v>
      </c>
      <c r="F42" s="240"/>
      <c r="G42" s="240"/>
      <c r="H42" s="240"/>
      <c r="I42" s="283"/>
      <c r="J42" s="285"/>
      <c r="K42" s="284"/>
      <c r="L42" s="240">
        <v>4418374</v>
      </c>
      <c r="M42" s="240">
        <v>18755259</v>
      </c>
      <c r="N42" s="240">
        <v>2646649</v>
      </c>
      <c r="O42" s="240">
        <v>1767506</v>
      </c>
      <c r="P42" s="240">
        <v>7065024</v>
      </c>
      <c r="Q42" s="240"/>
      <c r="R42" s="240">
        <v>20522765</v>
      </c>
      <c r="S42" s="240"/>
      <c r="T42" s="283"/>
      <c r="U42" s="288">
        <v>0.7</v>
      </c>
      <c r="V42" s="284">
        <v>27587789</v>
      </c>
      <c r="W42" s="240">
        <v>27587789</v>
      </c>
      <c r="X42" s="240"/>
      <c r="Y42" s="290"/>
      <c r="Z42" s="293" t="s">
        <v>366</v>
      </c>
      <c r="AA42" s="240">
        <v>2</v>
      </c>
      <c r="AB42" s="4"/>
      <c r="AC42" s="240"/>
      <c r="AD42" s="4"/>
      <c r="AE42" s="240"/>
      <c r="AF42" s="4"/>
      <c r="AG42" s="240"/>
      <c r="AH42" s="240">
        <v>13793894</v>
      </c>
      <c r="AI42" s="240" t="s">
        <v>440</v>
      </c>
      <c r="AJ42" s="240" t="s">
        <v>440</v>
      </c>
      <c r="AK42" s="240" t="s">
        <v>440</v>
      </c>
      <c r="AL42" s="310">
        <v>0.2</v>
      </c>
      <c r="AM42" s="240">
        <v>75582</v>
      </c>
      <c r="AN42" s="240"/>
      <c r="AO42" s="241"/>
      <c r="AP42" s="302"/>
      <c r="AQ42" s="302">
        <v>25.61</v>
      </c>
      <c r="AR42" s="537" t="s">
        <v>149</v>
      </c>
    </row>
    <row r="43" spans="1:44" ht="23.25" customHeight="1" x14ac:dyDescent="0.15">
      <c r="A43">
        <v>38</v>
      </c>
      <c r="B43" s="351" t="s">
        <v>102</v>
      </c>
      <c r="C43" s="351" t="s">
        <v>433</v>
      </c>
      <c r="D43" s="351" t="s">
        <v>338</v>
      </c>
      <c r="E43" s="351" t="s">
        <v>345</v>
      </c>
      <c r="F43" s="298">
        <v>174155446</v>
      </c>
      <c r="G43" s="298">
        <v>322887845</v>
      </c>
      <c r="H43" s="298">
        <v>24721134</v>
      </c>
      <c r="I43" s="483"/>
      <c r="J43" s="484">
        <v>25</v>
      </c>
      <c r="K43" s="485">
        <v>521764426</v>
      </c>
      <c r="L43" s="298">
        <v>1498410949675</v>
      </c>
      <c r="M43" s="298">
        <v>1460458059420</v>
      </c>
      <c r="N43" s="298"/>
      <c r="O43" s="298">
        <v>107756208946</v>
      </c>
      <c r="P43" s="298">
        <v>1498410949675</v>
      </c>
      <c r="Q43" s="298">
        <v>471961865</v>
      </c>
      <c r="R43" s="298">
        <v>1568214268366</v>
      </c>
      <c r="S43" s="298">
        <v>147086853258</v>
      </c>
      <c r="T43" s="483">
        <v>7913910783</v>
      </c>
      <c r="U43" s="285">
        <v>276883</v>
      </c>
      <c r="V43" s="485">
        <v>3222097943947</v>
      </c>
      <c r="W43" s="298">
        <v>3222619708373</v>
      </c>
      <c r="X43" s="298">
        <v>1836344305045</v>
      </c>
      <c r="Y43" s="487">
        <v>56.98</v>
      </c>
      <c r="Z43" s="488"/>
      <c r="AA43" s="298"/>
      <c r="AB43" s="489"/>
      <c r="AC43" s="298"/>
      <c r="AD43" s="489"/>
      <c r="AE43" s="298"/>
      <c r="AF43" s="489"/>
      <c r="AG43" s="298"/>
      <c r="AH43" s="298" t="s">
        <v>440</v>
      </c>
      <c r="AI43" s="298" t="s">
        <v>440</v>
      </c>
      <c r="AJ43" s="298" t="s">
        <v>440</v>
      </c>
      <c r="AK43" s="298" t="s">
        <v>440</v>
      </c>
      <c r="AL43" s="298">
        <v>25388</v>
      </c>
      <c r="AM43" s="298">
        <v>8829095091</v>
      </c>
      <c r="AN43" s="298">
        <v>11637871</v>
      </c>
      <c r="AO43" s="492"/>
      <c r="AP43" s="493"/>
      <c r="AQ43" s="493">
        <v>46.52</v>
      </c>
      <c r="AR43" s="491" t="s">
        <v>149</v>
      </c>
    </row>
    <row r="44" spans="1:44" ht="23.25" customHeight="1" x14ac:dyDescent="0.15">
      <c r="A44">
        <v>39</v>
      </c>
      <c r="B44" s="328" t="s">
        <v>102</v>
      </c>
      <c r="C44" s="327" t="s">
        <v>438</v>
      </c>
      <c r="D44" s="328" t="s">
        <v>338</v>
      </c>
      <c r="E44" s="328" t="s">
        <v>345</v>
      </c>
      <c r="F44" s="240">
        <v>417973</v>
      </c>
      <c r="G44" s="240">
        <v>760347</v>
      </c>
      <c r="H44" s="240">
        <v>75093</v>
      </c>
      <c r="I44" s="283"/>
      <c r="J44" s="287">
        <v>0.06</v>
      </c>
      <c r="K44" s="284">
        <v>1253414</v>
      </c>
      <c r="L44" s="240">
        <v>223142054</v>
      </c>
      <c r="M44" s="240">
        <v>4667177750</v>
      </c>
      <c r="N44" s="240">
        <v>13474770</v>
      </c>
      <c r="O44" s="240">
        <v>20493813</v>
      </c>
      <c r="P44" s="240">
        <v>236616824</v>
      </c>
      <c r="Q44" s="240"/>
      <c r="R44" s="240">
        <v>4687671563</v>
      </c>
      <c r="S44" s="240">
        <v>74266345</v>
      </c>
      <c r="T44" s="283"/>
      <c r="U44" s="288">
        <v>29.2</v>
      </c>
      <c r="V44" s="284">
        <v>4998554733</v>
      </c>
      <c r="W44" s="240">
        <v>4999808148</v>
      </c>
      <c r="X44" s="240">
        <v>3843000</v>
      </c>
      <c r="Y44" s="290">
        <v>0.08</v>
      </c>
      <c r="Z44" s="495" t="s">
        <v>477</v>
      </c>
      <c r="AA44" s="240">
        <v>1188</v>
      </c>
      <c r="AB44" s="498" t="s">
        <v>478</v>
      </c>
      <c r="AC44" s="240">
        <v>5861</v>
      </c>
      <c r="AD44" s="4"/>
      <c r="AE44" s="240"/>
      <c r="AF44" s="4"/>
      <c r="AG44" s="240"/>
      <c r="AH44" s="240">
        <v>4208592</v>
      </c>
      <c r="AI44" s="240">
        <v>853064</v>
      </c>
      <c r="AJ44" s="240" t="s">
        <v>440</v>
      </c>
      <c r="AK44" s="240" t="s">
        <v>440</v>
      </c>
      <c r="AL44" s="240">
        <v>39</v>
      </c>
      <c r="AM44" s="240">
        <v>13698104</v>
      </c>
      <c r="AN44" s="240">
        <v>170875193</v>
      </c>
      <c r="AO44" s="240"/>
      <c r="AP44" s="302"/>
      <c r="AQ44" s="302">
        <v>4.74</v>
      </c>
      <c r="AR44" s="537" t="s">
        <v>149</v>
      </c>
    </row>
    <row r="45" spans="1:44" ht="23.25" customHeight="1" x14ac:dyDescent="0.15">
      <c r="A45">
        <v>40</v>
      </c>
      <c r="B45" s="328" t="s">
        <v>102</v>
      </c>
      <c r="C45" s="327" t="s">
        <v>462</v>
      </c>
      <c r="D45" s="328" t="s">
        <v>338</v>
      </c>
      <c r="E45" s="328" t="s">
        <v>345</v>
      </c>
      <c r="F45" s="240">
        <v>626959</v>
      </c>
      <c r="G45" s="240">
        <v>1140521</v>
      </c>
      <c r="H45" s="240">
        <v>112640</v>
      </c>
      <c r="I45" s="283"/>
      <c r="J45" s="287">
        <v>0.09</v>
      </c>
      <c r="K45" s="284">
        <v>1880121</v>
      </c>
      <c r="L45" s="240">
        <v>29205467</v>
      </c>
      <c r="M45" s="240">
        <v>8637677467</v>
      </c>
      <c r="N45" s="240">
        <v>1615126</v>
      </c>
      <c r="O45" s="240">
        <v>2456450</v>
      </c>
      <c r="P45" s="240">
        <v>30820593</v>
      </c>
      <c r="Q45" s="240"/>
      <c r="R45" s="240">
        <v>8640133917</v>
      </c>
      <c r="S45" s="240">
        <v>8901788</v>
      </c>
      <c r="T45" s="283"/>
      <c r="U45" s="288">
        <v>3.5</v>
      </c>
      <c r="V45" s="284">
        <v>8679856298</v>
      </c>
      <c r="W45" s="240">
        <v>8681736420</v>
      </c>
      <c r="X45" s="240">
        <v>292371625</v>
      </c>
      <c r="Y45" s="290">
        <v>3.37</v>
      </c>
      <c r="Z45" s="5" t="s">
        <v>477</v>
      </c>
      <c r="AA45" s="240">
        <v>16113</v>
      </c>
      <c r="AB45" s="498" t="s">
        <v>478</v>
      </c>
      <c r="AC45" s="240">
        <v>4952</v>
      </c>
      <c r="AD45" s="4"/>
      <c r="AE45" s="240"/>
      <c r="AF45" s="4"/>
      <c r="AG45" s="240"/>
      <c r="AH45" s="240">
        <v>538803</v>
      </c>
      <c r="AI45" s="240">
        <v>1753177</v>
      </c>
      <c r="AJ45" s="240" t="s">
        <v>440</v>
      </c>
      <c r="AK45" s="240" t="s">
        <v>440</v>
      </c>
      <c r="AL45" s="310">
        <v>68</v>
      </c>
      <c r="AM45" s="240">
        <v>23785579</v>
      </c>
      <c r="AN45" s="240">
        <v>2418310980</v>
      </c>
      <c r="AO45" s="241"/>
      <c r="AP45" s="302"/>
      <c r="AQ45" s="302">
        <v>0.36</v>
      </c>
      <c r="AR45" s="537" t="s">
        <v>149</v>
      </c>
    </row>
    <row r="46" spans="1:44" ht="23.25" customHeight="1" x14ac:dyDescent="0.15">
      <c r="A46">
        <v>41</v>
      </c>
      <c r="B46" s="328" t="s">
        <v>102</v>
      </c>
      <c r="C46" s="327" t="s">
        <v>352</v>
      </c>
      <c r="D46" s="328" t="s">
        <v>338</v>
      </c>
      <c r="E46" s="328" t="s">
        <v>345</v>
      </c>
      <c r="F46" s="240">
        <v>1393243</v>
      </c>
      <c r="G46" s="240">
        <v>964784</v>
      </c>
      <c r="H46" s="240">
        <v>544488</v>
      </c>
      <c r="I46" s="283"/>
      <c r="J46" s="285">
        <v>0.2</v>
      </c>
      <c r="K46" s="284">
        <v>2902516</v>
      </c>
      <c r="L46" s="240">
        <v>366462096</v>
      </c>
      <c r="M46" s="240">
        <v>1277641942</v>
      </c>
      <c r="N46" s="240">
        <v>152675360</v>
      </c>
      <c r="O46" s="240">
        <v>225570197</v>
      </c>
      <c r="P46" s="240">
        <v>519137456</v>
      </c>
      <c r="Q46" s="240">
        <v>52159</v>
      </c>
      <c r="R46" s="240">
        <v>1503212139</v>
      </c>
      <c r="S46" s="240">
        <v>210213052</v>
      </c>
      <c r="T46" s="283">
        <v>1004966</v>
      </c>
      <c r="U46" s="288">
        <v>31</v>
      </c>
      <c r="V46" s="284">
        <v>2233619773</v>
      </c>
      <c r="W46" s="240">
        <v>2236522290</v>
      </c>
      <c r="X46" s="240">
        <v>1213395722</v>
      </c>
      <c r="Y46" s="290">
        <v>54.25</v>
      </c>
      <c r="Z46" s="291" t="s">
        <v>448</v>
      </c>
      <c r="AA46" s="240">
        <v>4366557</v>
      </c>
      <c r="AB46" s="4" t="s">
        <v>449</v>
      </c>
      <c r="AC46" s="240">
        <v>3405</v>
      </c>
      <c r="AD46" s="4"/>
      <c r="AE46" s="240"/>
      <c r="AF46" s="4"/>
      <c r="AG46" s="240"/>
      <c r="AH46" s="240">
        <v>512</v>
      </c>
      <c r="AI46" s="240">
        <v>656834</v>
      </c>
      <c r="AJ46" s="240" t="s">
        <v>440</v>
      </c>
      <c r="AK46" s="240" t="s">
        <v>440</v>
      </c>
      <c r="AL46" s="240">
        <v>17</v>
      </c>
      <c r="AM46" s="240">
        <v>6127458</v>
      </c>
      <c r="AN46" s="240">
        <v>71683406</v>
      </c>
      <c r="AO46" s="240"/>
      <c r="AP46" s="302"/>
      <c r="AQ46" s="302">
        <v>23.28</v>
      </c>
      <c r="AR46" s="537" t="s">
        <v>149</v>
      </c>
    </row>
    <row r="47" spans="1:44" ht="23.25" customHeight="1" x14ac:dyDescent="0.15">
      <c r="A47">
        <v>42</v>
      </c>
      <c r="B47" s="328" t="s">
        <v>102</v>
      </c>
      <c r="C47" s="327" t="s">
        <v>353</v>
      </c>
      <c r="D47" s="328" t="s">
        <v>338</v>
      </c>
      <c r="E47" s="328" t="s">
        <v>345</v>
      </c>
      <c r="F47" s="240">
        <v>2786487</v>
      </c>
      <c r="G47" s="240">
        <v>1929569</v>
      </c>
      <c r="H47" s="240">
        <v>1088977</v>
      </c>
      <c r="I47" s="283"/>
      <c r="J47" s="285">
        <v>0.4</v>
      </c>
      <c r="K47" s="284">
        <v>5805033</v>
      </c>
      <c r="L47" s="240">
        <v>882302829</v>
      </c>
      <c r="M47" s="240">
        <v>2021920830</v>
      </c>
      <c r="N47" s="240">
        <v>219736662</v>
      </c>
      <c r="O47" s="240">
        <v>246082131</v>
      </c>
      <c r="P47" s="240">
        <v>1102039491</v>
      </c>
      <c r="Q47" s="240">
        <v>1276440</v>
      </c>
      <c r="R47" s="240">
        <v>2268002962</v>
      </c>
      <c r="S47" s="240">
        <v>772949811</v>
      </c>
      <c r="T47" s="283">
        <v>2267707</v>
      </c>
      <c r="U47" s="288">
        <v>78</v>
      </c>
      <c r="V47" s="284">
        <v>4146536413</v>
      </c>
      <c r="W47" s="240">
        <v>4152341447</v>
      </c>
      <c r="X47" s="240">
        <v>1332760799</v>
      </c>
      <c r="Y47" s="290">
        <v>32.1</v>
      </c>
      <c r="Z47" s="5" t="s">
        <v>448</v>
      </c>
      <c r="AA47" s="240">
        <v>3810178</v>
      </c>
      <c r="AB47" s="4" t="s">
        <v>367</v>
      </c>
      <c r="AC47" s="240">
        <v>341</v>
      </c>
      <c r="AD47" s="4"/>
      <c r="AE47" s="240"/>
      <c r="AF47" s="4"/>
      <c r="AG47" s="240"/>
      <c r="AH47" s="240">
        <v>1089</v>
      </c>
      <c r="AI47" s="240">
        <v>12176954</v>
      </c>
      <c r="AJ47" s="240" t="s">
        <v>440</v>
      </c>
      <c r="AK47" s="240" t="s">
        <v>440</v>
      </c>
      <c r="AL47" s="240">
        <v>32</v>
      </c>
      <c r="AM47" s="240">
        <v>11376277</v>
      </c>
      <c r="AN47" s="240">
        <v>52963538</v>
      </c>
      <c r="AO47" s="240"/>
      <c r="AP47" s="302"/>
      <c r="AQ47" s="302">
        <v>26.64</v>
      </c>
      <c r="AR47" s="537" t="s">
        <v>149</v>
      </c>
    </row>
    <row r="48" spans="1:44" ht="23.25" customHeight="1" x14ac:dyDescent="0.15">
      <c r="A48">
        <v>43</v>
      </c>
      <c r="B48" s="323" t="s">
        <v>102</v>
      </c>
      <c r="C48" s="324" t="s">
        <v>103</v>
      </c>
      <c r="D48" s="325" t="s">
        <v>87</v>
      </c>
      <c r="E48" s="326" t="s">
        <v>38</v>
      </c>
      <c r="F48" s="240">
        <v>13932435</v>
      </c>
      <c r="G48" s="240">
        <v>23653412</v>
      </c>
      <c r="H48" s="240">
        <v>1810966</v>
      </c>
      <c r="I48" s="283"/>
      <c r="J48" s="285">
        <v>2</v>
      </c>
      <c r="K48" s="284">
        <v>39396814</v>
      </c>
      <c r="L48" s="240">
        <v>2116249836</v>
      </c>
      <c r="M48" s="240">
        <v>73136060761</v>
      </c>
      <c r="N48" s="240">
        <v>611402232</v>
      </c>
      <c r="O48" s="240">
        <v>587209748</v>
      </c>
      <c r="P48" s="240">
        <v>2727652068</v>
      </c>
      <c r="Q48" s="240">
        <v>15164664</v>
      </c>
      <c r="R48" s="240">
        <v>73723270509</v>
      </c>
      <c r="S48" s="240"/>
      <c r="T48" s="283"/>
      <c r="U48" s="288">
        <v>314.60000000000002</v>
      </c>
      <c r="V48" s="284">
        <v>76466087241</v>
      </c>
      <c r="W48" s="240">
        <v>76505484055</v>
      </c>
      <c r="X48" s="240">
        <v>43725260459</v>
      </c>
      <c r="Y48" s="290">
        <v>57.15</v>
      </c>
      <c r="Z48" s="5" t="s">
        <v>242</v>
      </c>
      <c r="AA48" s="240">
        <v>5679905</v>
      </c>
      <c r="AB48" s="4"/>
      <c r="AC48" s="240"/>
      <c r="AD48" s="4"/>
      <c r="AE48" s="240"/>
      <c r="AF48" s="4"/>
      <c r="AG48" s="240"/>
      <c r="AH48" s="240">
        <v>13469</v>
      </c>
      <c r="AI48" s="240"/>
      <c r="AJ48" s="240"/>
      <c r="AK48" s="240"/>
      <c r="AL48" s="240">
        <v>602</v>
      </c>
      <c r="AM48" s="240">
        <v>209604065</v>
      </c>
      <c r="AN48" s="240">
        <v>241647138</v>
      </c>
      <c r="AO48" s="241">
        <v>1802972417740</v>
      </c>
      <c r="AP48" s="302">
        <v>4.24</v>
      </c>
      <c r="AQ48" s="302">
        <v>3.6</v>
      </c>
      <c r="AR48" s="537" t="s">
        <v>151</v>
      </c>
    </row>
    <row r="49" spans="1:44" ht="23.25" customHeight="1" x14ac:dyDescent="0.15">
      <c r="A49">
        <v>44</v>
      </c>
      <c r="B49" s="323" t="s">
        <v>104</v>
      </c>
      <c r="C49" s="324" t="s">
        <v>105</v>
      </c>
      <c r="D49" s="325" t="s">
        <v>35</v>
      </c>
      <c r="E49" s="326" t="s">
        <v>36</v>
      </c>
      <c r="F49" s="240">
        <v>2119123468</v>
      </c>
      <c r="G49" s="240">
        <v>24559208</v>
      </c>
      <c r="H49" s="240">
        <v>57297151</v>
      </c>
      <c r="I49" s="283">
        <v>620061664</v>
      </c>
      <c r="J49" s="285">
        <v>304.2</v>
      </c>
      <c r="K49" s="284">
        <v>2821041491</v>
      </c>
      <c r="L49" s="240"/>
      <c r="M49" s="240"/>
      <c r="N49" s="240"/>
      <c r="O49" s="240"/>
      <c r="P49" s="240"/>
      <c r="Q49" s="240"/>
      <c r="R49" s="240"/>
      <c r="S49" s="240"/>
      <c r="T49" s="283"/>
      <c r="U49" s="288"/>
      <c r="V49" s="284"/>
      <c r="W49" s="240">
        <v>2821041491</v>
      </c>
      <c r="X49" s="240">
        <v>209766055</v>
      </c>
      <c r="Y49" s="290">
        <v>7.44</v>
      </c>
      <c r="Z49" s="297" t="s">
        <v>243</v>
      </c>
      <c r="AA49" s="240">
        <v>49515489</v>
      </c>
      <c r="AB49" s="4"/>
      <c r="AC49" s="240"/>
      <c r="AD49" s="4"/>
      <c r="AE49" s="240"/>
      <c r="AF49" s="4"/>
      <c r="AG49" s="240"/>
      <c r="AH49" s="240">
        <v>56</v>
      </c>
      <c r="AI49" s="240"/>
      <c r="AJ49" s="240"/>
      <c r="AK49" s="240"/>
      <c r="AL49" s="240">
        <v>22</v>
      </c>
      <c r="AM49" s="240">
        <v>7728880</v>
      </c>
      <c r="AN49" s="240">
        <v>9273640</v>
      </c>
      <c r="AO49" s="241"/>
      <c r="AP49" s="302" t="s">
        <v>440</v>
      </c>
      <c r="AQ49" s="302">
        <v>75.12</v>
      </c>
      <c r="AR49" s="537" t="s">
        <v>148</v>
      </c>
    </row>
    <row r="50" spans="1:44" ht="23.25" customHeight="1" x14ac:dyDescent="0.15">
      <c r="A50">
        <v>45</v>
      </c>
      <c r="B50" s="328" t="s">
        <v>104</v>
      </c>
      <c r="C50" s="327" t="s">
        <v>351</v>
      </c>
      <c r="D50" s="328" t="s">
        <v>338</v>
      </c>
      <c r="E50" s="328" t="s">
        <v>339</v>
      </c>
      <c r="F50" s="240">
        <v>36920954</v>
      </c>
      <c r="G50" s="240">
        <v>2867948</v>
      </c>
      <c r="H50" s="240">
        <v>6690984</v>
      </c>
      <c r="I50" s="283">
        <v>95912352</v>
      </c>
      <c r="J50" s="285">
        <v>5.3</v>
      </c>
      <c r="K50" s="284">
        <v>142392239</v>
      </c>
      <c r="L50" s="240"/>
      <c r="M50" s="240"/>
      <c r="N50" s="240"/>
      <c r="O50" s="240"/>
      <c r="P50" s="240"/>
      <c r="Q50" s="240"/>
      <c r="R50" s="240"/>
      <c r="S50" s="240"/>
      <c r="T50" s="283"/>
      <c r="U50" s="288"/>
      <c r="V50" s="284"/>
      <c r="W50" s="240">
        <v>142392239</v>
      </c>
      <c r="X50" s="240">
        <v>99966800</v>
      </c>
      <c r="Y50" s="290">
        <v>70.209999999999994</v>
      </c>
      <c r="Z50" s="327" t="s">
        <v>486</v>
      </c>
      <c r="AA50" s="240">
        <v>14701</v>
      </c>
      <c r="AB50" s="4" t="s">
        <v>374</v>
      </c>
      <c r="AC50" s="240">
        <v>13243</v>
      </c>
      <c r="AD50" s="4"/>
      <c r="AE50" s="240"/>
      <c r="AF50" s="4"/>
      <c r="AG50" s="240"/>
      <c r="AH50" s="240">
        <v>9685</v>
      </c>
      <c r="AI50" s="240">
        <v>10752</v>
      </c>
      <c r="AJ50" s="240" t="s">
        <v>440</v>
      </c>
      <c r="AK50" s="240" t="s">
        <v>440</v>
      </c>
      <c r="AL50" s="240">
        <v>1</v>
      </c>
      <c r="AM50" s="240">
        <v>390115</v>
      </c>
      <c r="AN50" s="240">
        <v>26866460</v>
      </c>
      <c r="AO50" s="241"/>
      <c r="AP50" s="302"/>
      <c r="AQ50" s="302">
        <v>25.93</v>
      </c>
      <c r="AR50" s="537" t="s">
        <v>148</v>
      </c>
    </row>
    <row r="51" spans="1:44" ht="23.25" customHeight="1" x14ac:dyDescent="0.15">
      <c r="A51">
        <v>46</v>
      </c>
      <c r="B51" s="323" t="s">
        <v>104</v>
      </c>
      <c r="C51" s="324" t="s">
        <v>225</v>
      </c>
      <c r="D51" s="325" t="s">
        <v>35</v>
      </c>
      <c r="E51" s="326" t="s">
        <v>36</v>
      </c>
      <c r="F51" s="240">
        <v>1393243</v>
      </c>
      <c r="G51" s="240">
        <v>145082</v>
      </c>
      <c r="H51" s="240">
        <v>338479</v>
      </c>
      <c r="I51" s="283">
        <v>54651562</v>
      </c>
      <c r="J51" s="285">
        <v>0.2</v>
      </c>
      <c r="K51" s="284">
        <v>56528367</v>
      </c>
      <c r="L51" s="240"/>
      <c r="M51" s="240"/>
      <c r="N51" s="240"/>
      <c r="O51" s="240"/>
      <c r="P51" s="240"/>
      <c r="Q51" s="240"/>
      <c r="R51" s="240"/>
      <c r="S51" s="240"/>
      <c r="T51" s="283"/>
      <c r="U51" s="288"/>
      <c r="V51" s="284"/>
      <c r="W51" s="240">
        <v>56528367</v>
      </c>
      <c r="X51" s="240"/>
      <c r="Y51" s="290" t="s">
        <v>440</v>
      </c>
      <c r="Z51" s="294" t="s">
        <v>244</v>
      </c>
      <c r="AA51" s="240">
        <v>7984</v>
      </c>
      <c r="AB51" s="307"/>
      <c r="AC51" s="240"/>
      <c r="AD51" s="4"/>
      <c r="AE51" s="240"/>
      <c r="AF51" s="4"/>
      <c r="AG51" s="240"/>
      <c r="AH51" s="240">
        <v>7080</v>
      </c>
      <c r="AI51" s="240"/>
      <c r="AJ51" s="240"/>
      <c r="AK51" s="240"/>
      <c r="AL51" s="310">
        <v>0.4</v>
      </c>
      <c r="AM51" s="240">
        <v>154872</v>
      </c>
      <c r="AN51" s="240"/>
      <c r="AO51" s="241"/>
      <c r="AP51" s="302" t="s">
        <v>440</v>
      </c>
      <c r="AQ51" s="302">
        <v>2.46</v>
      </c>
      <c r="AR51" s="537" t="s">
        <v>148</v>
      </c>
    </row>
    <row r="52" spans="1:44" ht="23.25" customHeight="1" x14ac:dyDescent="0.15">
      <c r="A52">
        <v>47</v>
      </c>
      <c r="B52" s="323" t="s">
        <v>104</v>
      </c>
      <c r="C52" s="324" t="s">
        <v>193</v>
      </c>
      <c r="D52" s="325" t="s">
        <v>35</v>
      </c>
      <c r="E52" s="326" t="s">
        <v>38</v>
      </c>
      <c r="F52" s="240"/>
      <c r="G52" s="240"/>
      <c r="H52" s="240"/>
      <c r="I52" s="283"/>
      <c r="J52" s="285"/>
      <c r="K52" s="284"/>
      <c r="L52" s="240">
        <v>613645951</v>
      </c>
      <c r="M52" s="240">
        <v>220837288</v>
      </c>
      <c r="N52" s="240"/>
      <c r="O52" s="240"/>
      <c r="P52" s="240">
        <v>613645951</v>
      </c>
      <c r="Q52" s="240"/>
      <c r="R52" s="240">
        <v>220837288</v>
      </c>
      <c r="S52" s="240">
        <v>143287566</v>
      </c>
      <c r="T52" s="283"/>
      <c r="U52" s="288">
        <v>67</v>
      </c>
      <c r="V52" s="284">
        <v>977770805</v>
      </c>
      <c r="W52" s="240">
        <v>977770805</v>
      </c>
      <c r="X52" s="240">
        <v>300114145</v>
      </c>
      <c r="Y52" s="290">
        <v>30.69</v>
      </c>
      <c r="Z52" s="5" t="s">
        <v>245</v>
      </c>
      <c r="AA52" s="240">
        <v>447</v>
      </c>
      <c r="AB52" s="4"/>
      <c r="AC52" s="240"/>
      <c r="AD52" s="4"/>
      <c r="AE52" s="240"/>
      <c r="AF52" s="4"/>
      <c r="AG52" s="240"/>
      <c r="AH52" s="240">
        <v>2187406</v>
      </c>
      <c r="AI52" s="240"/>
      <c r="AJ52" s="240"/>
      <c r="AK52" s="240"/>
      <c r="AL52" s="240">
        <v>7</v>
      </c>
      <c r="AM52" s="240">
        <v>2678824</v>
      </c>
      <c r="AN52" s="240">
        <v>14593594</v>
      </c>
      <c r="AO52" s="241"/>
      <c r="AP52" s="302" t="s">
        <v>440</v>
      </c>
      <c r="AQ52" s="302">
        <v>62.76</v>
      </c>
      <c r="AR52" s="537" t="s">
        <v>149</v>
      </c>
    </row>
    <row r="53" spans="1:44" ht="23.25" customHeight="1" x14ac:dyDescent="0.15">
      <c r="A53">
        <v>48</v>
      </c>
      <c r="B53" s="323" t="s">
        <v>104</v>
      </c>
      <c r="C53" s="324" t="s">
        <v>108</v>
      </c>
      <c r="D53" s="325" t="s">
        <v>35</v>
      </c>
      <c r="E53" s="326" t="s">
        <v>38</v>
      </c>
      <c r="F53" s="240">
        <v>11145948</v>
      </c>
      <c r="G53" s="240">
        <v>1139095</v>
      </c>
      <c r="H53" s="240">
        <v>2657534</v>
      </c>
      <c r="I53" s="283"/>
      <c r="J53" s="287">
        <v>1.6</v>
      </c>
      <c r="K53" s="284">
        <v>14942579</v>
      </c>
      <c r="L53" s="240">
        <v>537988551</v>
      </c>
      <c r="M53" s="240">
        <v>868566016</v>
      </c>
      <c r="N53" s="240">
        <v>20805424</v>
      </c>
      <c r="O53" s="240">
        <v>15966347</v>
      </c>
      <c r="P53" s="240">
        <v>558793975</v>
      </c>
      <c r="Q53" s="240"/>
      <c r="R53" s="240">
        <v>884532363</v>
      </c>
      <c r="S53" s="240"/>
      <c r="T53" s="283"/>
      <c r="U53" s="288">
        <v>76</v>
      </c>
      <c r="V53" s="284">
        <v>1443326338</v>
      </c>
      <c r="W53" s="240">
        <v>1458268918</v>
      </c>
      <c r="X53" s="240">
        <v>983938731</v>
      </c>
      <c r="Y53" s="290">
        <v>67.47</v>
      </c>
      <c r="Z53" s="293" t="s">
        <v>246</v>
      </c>
      <c r="AA53" s="240">
        <v>1250</v>
      </c>
      <c r="AB53" s="4"/>
      <c r="AC53" s="240"/>
      <c r="AD53" s="4"/>
      <c r="AE53" s="240"/>
      <c r="AF53" s="4"/>
      <c r="AG53" s="240"/>
      <c r="AH53" s="240">
        <v>1166615</v>
      </c>
      <c r="AI53" s="240"/>
      <c r="AJ53" s="240"/>
      <c r="AK53" s="240"/>
      <c r="AL53" s="240">
        <v>11</v>
      </c>
      <c r="AM53" s="240">
        <v>3995257</v>
      </c>
      <c r="AN53" s="240">
        <v>18792125</v>
      </c>
      <c r="AO53" s="240"/>
      <c r="AP53" s="302" t="s">
        <v>440</v>
      </c>
      <c r="AQ53" s="302">
        <v>39.08</v>
      </c>
      <c r="AR53" s="537" t="s">
        <v>149</v>
      </c>
    </row>
    <row r="54" spans="1:44" ht="23.25" customHeight="1" x14ac:dyDescent="0.15">
      <c r="A54">
        <v>49</v>
      </c>
      <c r="B54" s="323" t="s">
        <v>104</v>
      </c>
      <c r="C54" s="324" t="s">
        <v>106</v>
      </c>
      <c r="D54" s="325" t="s">
        <v>87</v>
      </c>
      <c r="E54" s="326" t="s">
        <v>36</v>
      </c>
      <c r="F54" s="240">
        <v>13758280242</v>
      </c>
      <c r="G54" s="240">
        <v>388876629</v>
      </c>
      <c r="H54" s="240">
        <v>1570372464</v>
      </c>
      <c r="I54" s="283">
        <v>21309688046</v>
      </c>
      <c r="J54" s="285">
        <v>1975</v>
      </c>
      <c r="K54" s="284">
        <v>37027217381</v>
      </c>
      <c r="L54" s="240"/>
      <c r="M54" s="240"/>
      <c r="N54" s="240"/>
      <c r="O54" s="240"/>
      <c r="P54" s="240"/>
      <c r="Q54" s="240"/>
      <c r="R54" s="240"/>
      <c r="S54" s="240"/>
      <c r="T54" s="283"/>
      <c r="U54" s="288"/>
      <c r="V54" s="284"/>
      <c r="W54" s="240">
        <v>37027217381</v>
      </c>
      <c r="X54" s="240"/>
      <c r="Y54" s="290" t="s">
        <v>440</v>
      </c>
      <c r="Z54" s="293" t="s">
        <v>247</v>
      </c>
      <c r="AA54" s="240">
        <v>5488119</v>
      </c>
      <c r="AB54" s="4"/>
      <c r="AC54" s="240"/>
      <c r="AD54" s="4"/>
      <c r="AE54" s="240"/>
      <c r="AF54" s="4"/>
      <c r="AG54" s="240"/>
      <c r="AH54" s="240">
        <v>6746</v>
      </c>
      <c r="AI54" s="240"/>
      <c r="AJ54" s="240"/>
      <c r="AK54" s="240"/>
      <c r="AL54" s="240">
        <v>291</v>
      </c>
      <c r="AM54" s="240">
        <v>101444431</v>
      </c>
      <c r="AN54" s="240">
        <v>18747958</v>
      </c>
      <c r="AO54" s="240">
        <v>734662793871</v>
      </c>
      <c r="AP54" s="302">
        <v>5.04</v>
      </c>
      <c r="AQ54" s="302">
        <v>37.159999999999997</v>
      </c>
      <c r="AR54" s="537" t="s">
        <v>150</v>
      </c>
    </row>
    <row r="55" spans="1:44" ht="23.25" customHeight="1" x14ac:dyDescent="0.15">
      <c r="A55">
        <v>50</v>
      </c>
      <c r="B55" s="323" t="s">
        <v>104</v>
      </c>
      <c r="C55" s="324" t="s">
        <v>107</v>
      </c>
      <c r="D55" s="325" t="s">
        <v>87</v>
      </c>
      <c r="E55" s="326" t="s">
        <v>36</v>
      </c>
      <c r="F55" s="240">
        <v>14242432382</v>
      </c>
      <c r="G55" s="240">
        <v>520634199</v>
      </c>
      <c r="H55" s="240">
        <v>1086265593</v>
      </c>
      <c r="I55" s="283">
        <v>29130568471</v>
      </c>
      <c r="J55" s="285">
        <v>2044.5</v>
      </c>
      <c r="K55" s="284">
        <v>44979900645</v>
      </c>
      <c r="L55" s="240"/>
      <c r="M55" s="240"/>
      <c r="N55" s="240"/>
      <c r="O55" s="240"/>
      <c r="P55" s="240"/>
      <c r="Q55" s="240"/>
      <c r="R55" s="240"/>
      <c r="S55" s="240"/>
      <c r="T55" s="283"/>
      <c r="U55" s="288"/>
      <c r="V55" s="284"/>
      <c r="W55" s="240">
        <v>44979900645</v>
      </c>
      <c r="X55" s="240"/>
      <c r="Y55" s="290" t="s">
        <v>440</v>
      </c>
      <c r="Z55" s="293" t="s">
        <v>248</v>
      </c>
      <c r="AA55" s="240">
        <v>41552.334999999999</v>
      </c>
      <c r="AB55" s="4"/>
      <c r="AC55" s="240"/>
      <c r="AD55" s="4"/>
      <c r="AE55" s="240"/>
      <c r="AF55" s="4"/>
      <c r="AG55" s="240"/>
      <c r="AH55" s="240">
        <v>1082</v>
      </c>
      <c r="AI55" s="240"/>
      <c r="AJ55" s="240"/>
      <c r="AK55" s="240"/>
      <c r="AL55" s="240">
        <v>354</v>
      </c>
      <c r="AM55" s="240">
        <v>123232604</v>
      </c>
      <c r="AN55" s="240">
        <v>22000440</v>
      </c>
      <c r="AO55" s="240">
        <v>1474625955604</v>
      </c>
      <c r="AP55" s="302">
        <v>3.05</v>
      </c>
      <c r="AQ55" s="302">
        <v>31.66</v>
      </c>
      <c r="AR55" s="537" t="s">
        <v>150</v>
      </c>
    </row>
    <row r="56" spans="1:44" ht="23.25" customHeight="1" x14ac:dyDescent="0.15">
      <c r="A56">
        <v>51</v>
      </c>
      <c r="B56" s="323" t="s">
        <v>104</v>
      </c>
      <c r="C56" s="324" t="s">
        <v>192</v>
      </c>
      <c r="D56" s="325" t="s">
        <v>87</v>
      </c>
      <c r="E56" s="326" t="s">
        <v>36</v>
      </c>
      <c r="F56" s="240">
        <v>20898653</v>
      </c>
      <c r="G56" s="240">
        <v>2118706</v>
      </c>
      <c r="H56" s="240">
        <v>4942986</v>
      </c>
      <c r="I56" s="283">
        <v>24140024</v>
      </c>
      <c r="J56" s="285">
        <v>3</v>
      </c>
      <c r="K56" s="284">
        <v>52100369</v>
      </c>
      <c r="L56" s="240"/>
      <c r="M56" s="240"/>
      <c r="N56" s="240"/>
      <c r="O56" s="240"/>
      <c r="P56" s="240"/>
      <c r="Q56" s="240"/>
      <c r="R56" s="240"/>
      <c r="S56" s="240"/>
      <c r="T56" s="283"/>
      <c r="U56" s="288"/>
      <c r="V56" s="284"/>
      <c r="W56" s="240">
        <v>52100369</v>
      </c>
      <c r="X56" s="240"/>
      <c r="Y56" s="290" t="s">
        <v>440</v>
      </c>
      <c r="Z56" s="293" t="s">
        <v>249</v>
      </c>
      <c r="AA56" s="240">
        <v>2867822</v>
      </c>
      <c r="AB56" s="4"/>
      <c r="AC56" s="240"/>
      <c r="AD56" s="4"/>
      <c r="AE56" s="240"/>
      <c r="AF56" s="4"/>
      <c r="AG56" s="240"/>
      <c r="AH56" s="240">
        <v>18</v>
      </c>
      <c r="AI56" s="240"/>
      <c r="AJ56" s="240"/>
      <c r="AK56" s="240"/>
      <c r="AL56" s="310">
        <v>0.4</v>
      </c>
      <c r="AM56" s="240">
        <v>142740</v>
      </c>
      <c r="AN56" s="240">
        <v>17366789</v>
      </c>
      <c r="AO56" s="240">
        <v>117667463414</v>
      </c>
      <c r="AP56" s="302">
        <v>0.04</v>
      </c>
      <c r="AQ56" s="302">
        <v>40.11</v>
      </c>
      <c r="AR56" s="537" t="s">
        <v>150</v>
      </c>
    </row>
    <row r="57" spans="1:44" ht="23.25" customHeight="1" x14ac:dyDescent="0.15">
      <c r="A57">
        <v>52</v>
      </c>
      <c r="B57" s="323" t="s">
        <v>109</v>
      </c>
      <c r="C57" s="324" t="s">
        <v>194</v>
      </c>
      <c r="D57" s="325" t="s">
        <v>35</v>
      </c>
      <c r="E57" s="326" t="s">
        <v>36</v>
      </c>
      <c r="F57" s="240">
        <v>6300944039</v>
      </c>
      <c r="G57" s="240">
        <v>2216104655</v>
      </c>
      <c r="H57" s="240">
        <v>51449649</v>
      </c>
      <c r="I57" s="283">
        <v>1024168113</v>
      </c>
      <c r="J57" s="285">
        <v>904.5</v>
      </c>
      <c r="K57" s="284">
        <v>9592666457</v>
      </c>
      <c r="L57" s="240"/>
      <c r="M57" s="240"/>
      <c r="N57" s="240"/>
      <c r="O57" s="240"/>
      <c r="P57" s="240"/>
      <c r="Q57" s="240"/>
      <c r="R57" s="240"/>
      <c r="S57" s="240"/>
      <c r="T57" s="283"/>
      <c r="U57" s="288"/>
      <c r="V57" s="284"/>
      <c r="W57" s="240">
        <v>9592666457</v>
      </c>
      <c r="X57" s="240"/>
      <c r="Y57" s="290" t="s">
        <v>440</v>
      </c>
      <c r="Z57" s="293" t="s">
        <v>512</v>
      </c>
      <c r="AA57" s="240">
        <v>1251408</v>
      </c>
      <c r="AB57" s="300"/>
      <c r="AC57" s="240"/>
      <c r="AD57" s="4"/>
      <c r="AE57" s="240"/>
      <c r="AF57" s="4"/>
      <c r="AG57" s="240"/>
      <c r="AH57" s="240">
        <v>7665</v>
      </c>
      <c r="AI57" s="240"/>
      <c r="AJ57" s="240"/>
      <c r="AK57" s="240"/>
      <c r="AL57" s="240">
        <v>75</v>
      </c>
      <c r="AM57" s="240">
        <v>26281277</v>
      </c>
      <c r="AN57" s="240">
        <v>10605490</v>
      </c>
      <c r="AO57" s="240"/>
      <c r="AP57" s="302" t="s">
        <v>440</v>
      </c>
      <c r="AQ57" s="302">
        <v>65.69</v>
      </c>
      <c r="AR57" s="537" t="s">
        <v>148</v>
      </c>
    </row>
    <row r="58" spans="1:44" ht="23.25" customHeight="1" x14ac:dyDescent="0.15">
      <c r="A58">
        <v>53</v>
      </c>
      <c r="B58" s="323" t="s">
        <v>109</v>
      </c>
      <c r="C58" s="324" t="s">
        <v>195</v>
      </c>
      <c r="D58" s="325" t="s">
        <v>35</v>
      </c>
      <c r="E58" s="326" t="s">
        <v>36</v>
      </c>
      <c r="F58" s="240">
        <v>1960293701</v>
      </c>
      <c r="G58" s="240">
        <v>689454781</v>
      </c>
      <c r="H58" s="240">
        <v>16006557</v>
      </c>
      <c r="I58" s="283">
        <v>538039994</v>
      </c>
      <c r="J58" s="285">
        <v>281.39999999999998</v>
      </c>
      <c r="K58" s="284">
        <v>3203795034</v>
      </c>
      <c r="L58" s="240"/>
      <c r="M58" s="240"/>
      <c r="N58" s="240"/>
      <c r="O58" s="240"/>
      <c r="P58" s="240"/>
      <c r="Q58" s="240"/>
      <c r="R58" s="240"/>
      <c r="S58" s="240"/>
      <c r="T58" s="283"/>
      <c r="U58" s="288"/>
      <c r="V58" s="284"/>
      <c r="W58" s="240">
        <v>3203795034</v>
      </c>
      <c r="X58" s="240"/>
      <c r="Y58" s="290" t="s">
        <v>440</v>
      </c>
      <c r="Z58" s="293" t="s">
        <v>250</v>
      </c>
      <c r="AA58" s="240">
        <v>571913</v>
      </c>
      <c r="AB58" s="4"/>
      <c r="AC58" s="240"/>
      <c r="AD58" s="4"/>
      <c r="AE58" s="240"/>
      <c r="AF58" s="4"/>
      <c r="AG58" s="240"/>
      <c r="AH58" s="240">
        <v>5601</v>
      </c>
      <c r="AI58" s="240"/>
      <c r="AJ58" s="240"/>
      <c r="AK58" s="240"/>
      <c r="AL58" s="240">
        <v>25</v>
      </c>
      <c r="AM58" s="240">
        <v>8777520</v>
      </c>
      <c r="AN58" s="240">
        <v>11385199</v>
      </c>
      <c r="AO58" s="240"/>
      <c r="AP58" s="302" t="s">
        <v>440</v>
      </c>
      <c r="AQ58" s="302">
        <v>61.19</v>
      </c>
      <c r="AR58" s="537" t="s">
        <v>148</v>
      </c>
    </row>
    <row r="59" spans="1:44" ht="23.25" customHeight="1" x14ac:dyDescent="0.15">
      <c r="A59">
        <v>54</v>
      </c>
      <c r="B59" s="328" t="s">
        <v>109</v>
      </c>
      <c r="C59" s="327" t="s">
        <v>350</v>
      </c>
      <c r="D59" s="328" t="s">
        <v>338</v>
      </c>
      <c r="E59" s="328" t="s">
        <v>339</v>
      </c>
      <c r="F59" s="240">
        <v>20898653</v>
      </c>
      <c r="G59" s="240">
        <v>8363360</v>
      </c>
      <c r="H59" s="240">
        <v>65180</v>
      </c>
      <c r="I59" s="283">
        <v>2688711588</v>
      </c>
      <c r="J59" s="285">
        <v>3</v>
      </c>
      <c r="K59" s="284">
        <v>2718038782</v>
      </c>
      <c r="L59" s="240"/>
      <c r="M59" s="240"/>
      <c r="N59" s="240"/>
      <c r="O59" s="240"/>
      <c r="P59" s="240"/>
      <c r="Q59" s="240"/>
      <c r="R59" s="240"/>
      <c r="S59" s="240"/>
      <c r="T59" s="283"/>
      <c r="U59" s="295"/>
      <c r="V59" s="284"/>
      <c r="W59" s="240">
        <v>2718038782</v>
      </c>
      <c r="X59" s="240"/>
      <c r="Y59" s="290"/>
      <c r="Z59" s="293" t="s">
        <v>513</v>
      </c>
      <c r="AA59" s="240">
        <v>101</v>
      </c>
      <c r="AB59" s="4"/>
      <c r="AC59" s="240"/>
      <c r="AD59" s="4"/>
      <c r="AE59" s="240"/>
      <c r="AF59" s="4"/>
      <c r="AG59" s="240"/>
      <c r="AH59" s="240">
        <v>26911275</v>
      </c>
      <c r="AI59" s="240"/>
      <c r="AJ59" s="240"/>
      <c r="AK59" s="240"/>
      <c r="AL59" s="240">
        <v>21</v>
      </c>
      <c r="AM59" s="240">
        <v>7446681</v>
      </c>
      <c r="AN59" s="240">
        <v>906012927</v>
      </c>
      <c r="AO59" s="241"/>
      <c r="AP59" s="302"/>
      <c r="AQ59" s="302">
        <v>0.77</v>
      </c>
      <c r="AR59" s="537" t="s">
        <v>148</v>
      </c>
    </row>
    <row r="60" spans="1:44" ht="23.25" customHeight="1" x14ac:dyDescent="0.15">
      <c r="A60">
        <v>55</v>
      </c>
      <c r="B60" s="328" t="s">
        <v>109</v>
      </c>
      <c r="C60" s="327" t="s">
        <v>349</v>
      </c>
      <c r="D60" s="328" t="s">
        <v>338</v>
      </c>
      <c r="E60" s="328" t="s">
        <v>339</v>
      </c>
      <c r="F60" s="240">
        <v>6966217</v>
      </c>
      <c r="G60" s="240">
        <v>22616785</v>
      </c>
      <c r="H60" s="240">
        <v>27514</v>
      </c>
      <c r="I60" s="283"/>
      <c r="J60" s="285">
        <v>1</v>
      </c>
      <c r="K60" s="284">
        <v>29610517</v>
      </c>
      <c r="L60" s="240"/>
      <c r="M60" s="240"/>
      <c r="N60" s="240"/>
      <c r="O60" s="240"/>
      <c r="P60" s="240"/>
      <c r="Q60" s="240"/>
      <c r="R60" s="240"/>
      <c r="S60" s="240"/>
      <c r="T60" s="283"/>
      <c r="U60" s="288"/>
      <c r="V60" s="284"/>
      <c r="W60" s="240">
        <v>29610517</v>
      </c>
      <c r="X60" s="240">
        <v>18723300</v>
      </c>
      <c r="Y60" s="290">
        <v>63.23</v>
      </c>
      <c r="Z60" s="495" t="s">
        <v>450</v>
      </c>
      <c r="AA60" s="240">
        <v>1347</v>
      </c>
      <c r="AB60" s="4"/>
      <c r="AC60" s="240"/>
      <c r="AD60" s="4"/>
      <c r="AE60" s="240"/>
      <c r="AF60" s="4"/>
      <c r="AG60" s="240"/>
      <c r="AH60" s="240">
        <v>21982</v>
      </c>
      <c r="AI60" s="240"/>
      <c r="AJ60" s="240"/>
      <c r="AK60" s="240"/>
      <c r="AL60" s="310">
        <v>0.2</v>
      </c>
      <c r="AM60" s="240">
        <v>81124</v>
      </c>
      <c r="AN60" s="240">
        <v>29610517</v>
      </c>
      <c r="AO60" s="241"/>
      <c r="AP60" s="302"/>
      <c r="AQ60" s="302">
        <v>23.53</v>
      </c>
      <c r="AR60" s="537" t="s">
        <v>148</v>
      </c>
    </row>
    <row r="61" spans="1:44" ht="23.25" customHeight="1" x14ac:dyDescent="0.15">
      <c r="A61">
        <v>56</v>
      </c>
      <c r="B61" s="328" t="s">
        <v>109</v>
      </c>
      <c r="C61" s="327" t="s">
        <v>437</v>
      </c>
      <c r="D61" s="328" t="s">
        <v>338</v>
      </c>
      <c r="E61" s="328" t="s">
        <v>345</v>
      </c>
      <c r="F61" s="240">
        <v>8359461</v>
      </c>
      <c r="G61" s="240">
        <v>2940105</v>
      </c>
      <c r="H61" s="240">
        <v>68258</v>
      </c>
      <c r="I61" s="283">
        <v>229370</v>
      </c>
      <c r="J61" s="285">
        <v>1.2</v>
      </c>
      <c r="K61" s="284">
        <v>11597195</v>
      </c>
      <c r="L61" s="240">
        <v>283815635</v>
      </c>
      <c r="M61" s="240">
        <v>813354396</v>
      </c>
      <c r="N61" s="240">
        <v>20701690</v>
      </c>
      <c r="O61" s="240">
        <v>12147954</v>
      </c>
      <c r="P61" s="240">
        <v>304517325</v>
      </c>
      <c r="Q61" s="240">
        <v>663756</v>
      </c>
      <c r="R61" s="240">
        <v>825502350</v>
      </c>
      <c r="S61" s="240">
        <v>6560539</v>
      </c>
      <c r="T61" s="283">
        <v>21674</v>
      </c>
      <c r="U61" s="288">
        <v>33.6</v>
      </c>
      <c r="V61" s="284">
        <v>1137265646</v>
      </c>
      <c r="W61" s="240">
        <v>1148862841</v>
      </c>
      <c r="X61" s="240">
        <v>203447500</v>
      </c>
      <c r="Y61" s="290">
        <v>17.71</v>
      </c>
      <c r="Z61" s="495" t="s">
        <v>465</v>
      </c>
      <c r="AA61" s="240">
        <v>55151</v>
      </c>
      <c r="AB61" s="500" t="s">
        <v>466</v>
      </c>
      <c r="AC61" s="240">
        <v>1733</v>
      </c>
      <c r="AD61" s="4" t="s">
        <v>467</v>
      </c>
      <c r="AE61" s="240">
        <v>23310</v>
      </c>
      <c r="AF61" s="4" t="s">
        <v>440</v>
      </c>
      <c r="AG61" s="240"/>
      <c r="AH61" s="240">
        <v>20831</v>
      </c>
      <c r="AI61" s="240">
        <v>662932</v>
      </c>
      <c r="AJ61" s="240">
        <v>49286</v>
      </c>
      <c r="AK61" s="240" t="s">
        <v>440</v>
      </c>
      <c r="AL61" s="240">
        <v>9</v>
      </c>
      <c r="AM61" s="240">
        <v>3147569</v>
      </c>
      <c r="AN61" s="240">
        <v>33013300</v>
      </c>
      <c r="AO61" s="241"/>
      <c r="AP61" s="302"/>
      <c r="AQ61" s="302">
        <v>27.29</v>
      </c>
      <c r="AR61" s="537" t="s">
        <v>149</v>
      </c>
    </row>
    <row r="62" spans="1:44" ht="23.25" customHeight="1" x14ac:dyDescent="0.15">
      <c r="A62">
        <v>57</v>
      </c>
      <c r="B62" s="328" t="s">
        <v>109</v>
      </c>
      <c r="C62" s="327" t="s">
        <v>442</v>
      </c>
      <c r="D62" s="328" t="s">
        <v>338</v>
      </c>
      <c r="E62" s="328" t="s">
        <v>345</v>
      </c>
      <c r="F62" s="240">
        <v>592128516</v>
      </c>
      <c r="G62" s="240">
        <v>64103172</v>
      </c>
      <c r="H62" s="240">
        <v>5150626</v>
      </c>
      <c r="I62" s="283"/>
      <c r="J62" s="285">
        <v>85</v>
      </c>
      <c r="K62" s="284">
        <v>661382315</v>
      </c>
      <c r="L62" s="240">
        <v>43223303000</v>
      </c>
      <c r="M62" s="240">
        <v>24764563000</v>
      </c>
      <c r="N62" s="240"/>
      <c r="O62" s="240"/>
      <c r="P62" s="240">
        <v>43223303000</v>
      </c>
      <c r="Q62" s="240"/>
      <c r="R62" s="240">
        <v>24764563000</v>
      </c>
      <c r="S62" s="240"/>
      <c r="T62" s="283"/>
      <c r="U62" s="285">
        <v>5231</v>
      </c>
      <c r="V62" s="284">
        <v>67987866000</v>
      </c>
      <c r="W62" s="240">
        <v>68649248315</v>
      </c>
      <c r="X62" s="241">
        <v>29722944000</v>
      </c>
      <c r="Y62" s="290">
        <v>43.3</v>
      </c>
      <c r="Z62" s="495" t="s">
        <v>514</v>
      </c>
      <c r="AA62" s="240">
        <v>1804000</v>
      </c>
      <c r="AB62" s="5"/>
      <c r="AC62" s="241"/>
      <c r="AD62" s="5"/>
      <c r="AE62" s="241"/>
      <c r="AF62" s="5"/>
      <c r="AG62" s="241"/>
      <c r="AH62" s="241">
        <v>38053</v>
      </c>
      <c r="AI62" s="240" t="s">
        <v>440</v>
      </c>
      <c r="AJ62" s="240" t="s">
        <v>440</v>
      </c>
      <c r="AK62" s="241" t="s">
        <v>440</v>
      </c>
      <c r="AL62" s="241">
        <v>540</v>
      </c>
      <c r="AM62" s="240">
        <v>188080132</v>
      </c>
      <c r="AN62" s="240">
        <v>12913557</v>
      </c>
      <c r="AO62" s="241"/>
      <c r="AP62" s="302"/>
      <c r="AQ62" s="302">
        <v>63.83</v>
      </c>
      <c r="AR62" s="537" t="s">
        <v>149</v>
      </c>
    </row>
    <row r="63" spans="1:44" ht="23.25" customHeight="1" x14ac:dyDescent="0.15">
      <c r="A63">
        <v>58</v>
      </c>
      <c r="B63" s="328" t="s">
        <v>109</v>
      </c>
      <c r="C63" s="327" t="s">
        <v>380</v>
      </c>
      <c r="D63" s="328" t="s">
        <v>346</v>
      </c>
      <c r="E63" s="328" t="s">
        <v>339</v>
      </c>
      <c r="F63" s="240">
        <v>134448004</v>
      </c>
      <c r="G63" s="240">
        <v>30095364</v>
      </c>
      <c r="H63" s="240">
        <v>1135465</v>
      </c>
      <c r="I63" s="283"/>
      <c r="J63" s="285">
        <v>19.3</v>
      </c>
      <c r="K63" s="284">
        <v>165678834</v>
      </c>
      <c r="L63" s="240"/>
      <c r="M63" s="240"/>
      <c r="N63" s="240"/>
      <c r="O63" s="240"/>
      <c r="P63" s="240"/>
      <c r="Q63" s="240"/>
      <c r="R63" s="240"/>
      <c r="S63" s="240"/>
      <c r="T63" s="283"/>
      <c r="U63" s="288"/>
      <c r="V63" s="284"/>
      <c r="W63" s="240">
        <v>165678834</v>
      </c>
      <c r="X63" s="240"/>
      <c r="Y63" s="290"/>
      <c r="Z63" s="5" t="s">
        <v>370</v>
      </c>
      <c r="AA63" s="240">
        <v>99</v>
      </c>
      <c r="AB63" s="304"/>
      <c r="AC63" s="240"/>
      <c r="AD63" s="5"/>
      <c r="AE63" s="241"/>
      <c r="AF63" s="5"/>
      <c r="AG63" s="241"/>
      <c r="AH63" s="240">
        <v>1673523</v>
      </c>
      <c r="AI63" s="240"/>
      <c r="AJ63" s="240"/>
      <c r="AK63" s="241"/>
      <c r="AL63" s="241">
        <v>1</v>
      </c>
      <c r="AM63" s="240">
        <v>453914</v>
      </c>
      <c r="AN63" s="240">
        <v>8584395</v>
      </c>
      <c r="AO63" s="241">
        <v>20169852000</v>
      </c>
      <c r="AP63" s="302">
        <v>0.82</v>
      </c>
      <c r="AQ63" s="302">
        <v>81.150000000000006</v>
      </c>
      <c r="AR63" s="537" t="s">
        <v>150</v>
      </c>
    </row>
    <row r="64" spans="1:44" ht="23.25" customHeight="1" x14ac:dyDescent="0.15">
      <c r="A64">
        <v>59</v>
      </c>
      <c r="B64" s="328" t="s">
        <v>110</v>
      </c>
      <c r="C64" s="327" t="s">
        <v>475</v>
      </c>
      <c r="D64" s="328" t="s">
        <v>338</v>
      </c>
      <c r="E64" s="328" t="s">
        <v>339</v>
      </c>
      <c r="F64" s="240">
        <v>10797637</v>
      </c>
      <c r="G64" s="240">
        <v>6265417</v>
      </c>
      <c r="H64" s="240">
        <v>383674</v>
      </c>
      <c r="I64" s="283">
        <v>33990960</v>
      </c>
      <c r="J64" s="285">
        <v>1.5</v>
      </c>
      <c r="K64" s="284">
        <v>51437690</v>
      </c>
      <c r="L64" s="240"/>
      <c r="M64" s="240"/>
      <c r="N64" s="240"/>
      <c r="O64" s="240"/>
      <c r="P64" s="240"/>
      <c r="Q64" s="240"/>
      <c r="R64" s="240"/>
      <c r="S64" s="240"/>
      <c r="T64" s="283"/>
      <c r="U64" s="288"/>
      <c r="V64" s="284"/>
      <c r="W64" s="240">
        <v>51437690</v>
      </c>
      <c r="X64" s="240">
        <v>63682000</v>
      </c>
      <c r="Y64" s="290">
        <v>123.8</v>
      </c>
      <c r="Z64" s="495" t="s">
        <v>359</v>
      </c>
      <c r="AA64" s="241">
        <v>7492</v>
      </c>
      <c r="AB64" s="5"/>
      <c r="AC64" s="241"/>
      <c r="AD64" s="5"/>
      <c r="AE64" s="240"/>
      <c r="AF64" s="5"/>
      <c r="AG64" s="241"/>
      <c r="AH64" s="240">
        <v>6865</v>
      </c>
      <c r="AI64" s="240"/>
      <c r="AJ64" s="240"/>
      <c r="AK64" s="241"/>
      <c r="AL64" s="313">
        <v>0.4</v>
      </c>
      <c r="AM64" s="241">
        <v>140925</v>
      </c>
      <c r="AN64" s="241">
        <v>33185606</v>
      </c>
      <c r="AO64" s="241"/>
      <c r="AP64" s="302"/>
      <c r="AQ64" s="302">
        <v>20.99</v>
      </c>
      <c r="AR64" s="537" t="s">
        <v>148</v>
      </c>
    </row>
    <row r="65" spans="1:44" ht="23.25" customHeight="1" x14ac:dyDescent="0.15">
      <c r="A65">
        <v>60</v>
      </c>
      <c r="B65" s="323" t="s">
        <v>110</v>
      </c>
      <c r="C65" s="324" t="s">
        <v>111</v>
      </c>
      <c r="D65" s="325" t="s">
        <v>35</v>
      </c>
      <c r="E65" s="326" t="s">
        <v>36</v>
      </c>
      <c r="F65" s="240">
        <v>22291897</v>
      </c>
      <c r="G65" s="240">
        <v>7540991</v>
      </c>
      <c r="H65" s="240">
        <v>667907</v>
      </c>
      <c r="I65" s="283">
        <v>59053171</v>
      </c>
      <c r="J65" s="285">
        <v>3.2</v>
      </c>
      <c r="K65" s="284">
        <v>89553967</v>
      </c>
      <c r="L65" s="240"/>
      <c r="M65" s="240"/>
      <c r="N65" s="240"/>
      <c r="O65" s="240"/>
      <c r="P65" s="240"/>
      <c r="Q65" s="240"/>
      <c r="R65" s="240"/>
      <c r="S65" s="240"/>
      <c r="T65" s="283"/>
      <c r="U65" s="288"/>
      <c r="V65" s="284"/>
      <c r="W65" s="240">
        <v>89553967</v>
      </c>
      <c r="X65" s="240">
        <v>56148000</v>
      </c>
      <c r="Y65" s="290">
        <v>62.7</v>
      </c>
      <c r="Z65" s="5" t="s">
        <v>251</v>
      </c>
      <c r="AA65" s="240">
        <v>4679</v>
      </c>
      <c r="AB65" s="304"/>
      <c r="AC65" s="241"/>
      <c r="AD65" s="5"/>
      <c r="AE65" s="241"/>
      <c r="AF65" s="5"/>
      <c r="AG65" s="241"/>
      <c r="AH65" s="240">
        <v>19139</v>
      </c>
      <c r="AI65" s="240"/>
      <c r="AJ65" s="240"/>
      <c r="AK65" s="241"/>
      <c r="AL65" s="313">
        <v>0.7</v>
      </c>
      <c r="AM65" s="241">
        <v>245353</v>
      </c>
      <c r="AN65" s="241">
        <v>27985614</v>
      </c>
      <c r="AO65" s="241"/>
      <c r="AP65" s="302" t="s">
        <v>440</v>
      </c>
      <c r="AQ65" s="302">
        <v>24.89</v>
      </c>
      <c r="AR65" s="537" t="s">
        <v>148</v>
      </c>
    </row>
    <row r="66" spans="1:44" ht="23.25" customHeight="1" x14ac:dyDescent="0.15">
      <c r="A66">
        <v>61</v>
      </c>
      <c r="B66" s="328" t="s">
        <v>110</v>
      </c>
      <c r="C66" s="327" t="s">
        <v>463</v>
      </c>
      <c r="D66" s="328" t="s">
        <v>346</v>
      </c>
      <c r="E66" s="328" t="s">
        <v>345</v>
      </c>
      <c r="F66" s="240"/>
      <c r="G66" s="240"/>
      <c r="H66" s="240"/>
      <c r="I66" s="283"/>
      <c r="J66" s="285"/>
      <c r="K66" s="284"/>
      <c r="L66" s="240"/>
      <c r="M66" s="240"/>
      <c r="N66" s="240"/>
      <c r="O66" s="240"/>
      <c r="P66" s="240"/>
      <c r="Q66" s="240"/>
      <c r="R66" s="240"/>
      <c r="S66" s="240"/>
      <c r="T66" s="283"/>
      <c r="U66" s="288"/>
      <c r="V66" s="284"/>
      <c r="W66" s="240"/>
      <c r="X66" s="240"/>
      <c r="Y66" s="290" t="s">
        <v>440</v>
      </c>
      <c r="Z66" s="495" t="s">
        <v>254</v>
      </c>
      <c r="AA66" s="240">
        <v>0</v>
      </c>
      <c r="AB66" s="5"/>
      <c r="AC66" s="241"/>
      <c r="AD66" s="5"/>
      <c r="AE66" s="241"/>
      <c r="AF66" s="5"/>
      <c r="AG66" s="241"/>
      <c r="AH66" s="240" t="s">
        <v>440</v>
      </c>
      <c r="AI66" s="240"/>
      <c r="AJ66" s="240"/>
      <c r="AK66" s="241"/>
      <c r="AL66" s="241"/>
      <c r="AM66" s="240"/>
      <c r="AN66" s="240"/>
      <c r="AO66" s="241"/>
      <c r="AP66" s="302" t="s">
        <v>440</v>
      </c>
      <c r="AQ66" s="302" t="s">
        <v>440</v>
      </c>
      <c r="AR66" s="537" t="s">
        <v>151</v>
      </c>
    </row>
    <row r="67" spans="1:44" ht="23.25" customHeight="1" x14ac:dyDescent="0.15">
      <c r="A67">
        <v>62</v>
      </c>
      <c r="B67" s="328" t="s">
        <v>110</v>
      </c>
      <c r="C67" s="327" t="s">
        <v>347</v>
      </c>
      <c r="D67" s="328" t="s">
        <v>346</v>
      </c>
      <c r="E67" s="328" t="s">
        <v>345</v>
      </c>
      <c r="F67" s="240">
        <v>30651358</v>
      </c>
      <c r="G67" s="240">
        <v>73798222</v>
      </c>
      <c r="H67" s="240">
        <v>473338234</v>
      </c>
      <c r="I67" s="283"/>
      <c r="J67" s="285">
        <v>4.4000000000000004</v>
      </c>
      <c r="K67" s="284">
        <v>577787815</v>
      </c>
      <c r="L67" s="240">
        <v>821033061</v>
      </c>
      <c r="M67" s="240">
        <v>1950059760</v>
      </c>
      <c r="N67" s="240">
        <v>5579903</v>
      </c>
      <c r="O67" s="240">
        <v>15487336</v>
      </c>
      <c r="P67" s="240">
        <v>826612964</v>
      </c>
      <c r="Q67" s="240"/>
      <c r="R67" s="240">
        <v>1965547096</v>
      </c>
      <c r="S67" s="240"/>
      <c r="T67" s="283"/>
      <c r="U67" s="288">
        <v>212.6</v>
      </c>
      <c r="V67" s="284">
        <v>2792160061</v>
      </c>
      <c r="W67" s="240">
        <v>3369947876</v>
      </c>
      <c r="X67" s="240"/>
      <c r="Y67" s="290"/>
      <c r="Z67" s="5" t="s">
        <v>254</v>
      </c>
      <c r="AA67" s="241">
        <v>7074</v>
      </c>
      <c r="AB67" s="5"/>
      <c r="AC67" s="241"/>
      <c r="AD67" s="5"/>
      <c r="AE67" s="241"/>
      <c r="AF67" s="5"/>
      <c r="AG67" s="241"/>
      <c r="AH67" s="240">
        <v>476385</v>
      </c>
      <c r="AI67" s="240"/>
      <c r="AJ67" s="240"/>
      <c r="AK67" s="241"/>
      <c r="AL67" s="313">
        <v>26</v>
      </c>
      <c r="AM67" s="240">
        <v>9232733</v>
      </c>
      <c r="AN67" s="240">
        <v>15529652</v>
      </c>
      <c r="AO67" s="241">
        <v>56342426737</v>
      </c>
      <c r="AP67" s="302">
        <v>5.98</v>
      </c>
      <c r="AQ67" s="302">
        <v>25.44</v>
      </c>
      <c r="AR67" s="537" t="s">
        <v>151</v>
      </c>
    </row>
    <row r="68" spans="1:44" ht="23.25" customHeight="1" x14ac:dyDescent="0.15">
      <c r="A68">
        <v>63</v>
      </c>
      <c r="B68" s="323" t="s">
        <v>110</v>
      </c>
      <c r="C68" s="324" t="s">
        <v>196</v>
      </c>
      <c r="D68" s="325" t="s">
        <v>87</v>
      </c>
      <c r="E68" s="326" t="s">
        <v>38</v>
      </c>
      <c r="F68" s="240"/>
      <c r="G68" s="240"/>
      <c r="H68" s="240"/>
      <c r="I68" s="283"/>
      <c r="J68" s="285"/>
      <c r="K68" s="284"/>
      <c r="L68" s="240">
        <v>243707549</v>
      </c>
      <c r="M68" s="240">
        <v>78678298</v>
      </c>
      <c r="N68" s="240">
        <v>7478327</v>
      </c>
      <c r="O68" s="240">
        <v>21413774</v>
      </c>
      <c r="P68" s="240">
        <v>251185876</v>
      </c>
      <c r="Q68" s="240"/>
      <c r="R68" s="240">
        <v>100092072</v>
      </c>
      <c r="S68" s="240"/>
      <c r="T68" s="283"/>
      <c r="U68" s="288">
        <v>31.6</v>
      </c>
      <c r="V68" s="284">
        <v>351277948</v>
      </c>
      <c r="W68" s="240">
        <v>351277948</v>
      </c>
      <c r="X68" s="241"/>
      <c r="Y68" s="290" t="s">
        <v>440</v>
      </c>
      <c r="Z68" s="309" t="s">
        <v>252</v>
      </c>
      <c r="AA68" s="241">
        <v>1885</v>
      </c>
      <c r="AB68" s="499" t="s">
        <v>253</v>
      </c>
      <c r="AC68" s="241">
        <v>3344</v>
      </c>
      <c r="AD68" s="5"/>
      <c r="AE68" s="241"/>
      <c r="AF68" s="5"/>
      <c r="AG68" s="241"/>
      <c r="AH68" s="240">
        <v>186354</v>
      </c>
      <c r="AI68" s="240">
        <v>105047</v>
      </c>
      <c r="AJ68" s="240"/>
      <c r="AK68" s="241"/>
      <c r="AL68" s="313">
        <v>2</v>
      </c>
      <c r="AM68" s="240">
        <v>962405</v>
      </c>
      <c r="AN68" s="240">
        <v>11092987</v>
      </c>
      <c r="AO68" s="240">
        <v>7587357000</v>
      </c>
      <c r="AP68" s="302">
        <v>4.63</v>
      </c>
      <c r="AQ68" s="302">
        <v>71.510000000000005</v>
      </c>
      <c r="AR68" s="541" t="s">
        <v>151</v>
      </c>
    </row>
    <row r="69" spans="1:44" ht="23.25" customHeight="1" x14ac:dyDescent="0.15">
      <c r="A69">
        <v>64</v>
      </c>
      <c r="B69" s="328" t="s">
        <v>110</v>
      </c>
      <c r="C69" s="327" t="s">
        <v>348</v>
      </c>
      <c r="D69" s="328" t="s">
        <v>346</v>
      </c>
      <c r="E69" s="328" t="s">
        <v>345</v>
      </c>
      <c r="F69" s="240">
        <v>11842570</v>
      </c>
      <c r="G69" s="240">
        <v>28512949</v>
      </c>
      <c r="H69" s="240">
        <v>182880681</v>
      </c>
      <c r="I69" s="283"/>
      <c r="J69" s="285">
        <v>1.7</v>
      </c>
      <c r="K69" s="284">
        <v>223236201</v>
      </c>
      <c r="L69" s="240">
        <v>114241440</v>
      </c>
      <c r="M69" s="240">
        <v>42527657</v>
      </c>
      <c r="N69" s="240">
        <v>3631212</v>
      </c>
      <c r="O69" s="240">
        <v>10397775</v>
      </c>
      <c r="P69" s="240">
        <v>117872652</v>
      </c>
      <c r="Q69" s="240"/>
      <c r="R69" s="240">
        <v>52925432</v>
      </c>
      <c r="S69" s="240"/>
      <c r="T69" s="283"/>
      <c r="U69" s="288">
        <v>16</v>
      </c>
      <c r="V69" s="284">
        <v>170798085</v>
      </c>
      <c r="W69" s="240">
        <v>394034286</v>
      </c>
      <c r="X69" s="241"/>
      <c r="Y69" s="290"/>
      <c r="Z69" s="5" t="s">
        <v>254</v>
      </c>
      <c r="AA69" s="241">
        <v>82</v>
      </c>
      <c r="AB69" s="499" t="s">
        <v>383</v>
      </c>
      <c r="AC69" s="241">
        <v>12</v>
      </c>
      <c r="AD69" s="5"/>
      <c r="AE69" s="241"/>
      <c r="AF69" s="5"/>
      <c r="AG69" s="241"/>
      <c r="AH69" s="240">
        <v>4805296</v>
      </c>
      <c r="AI69" s="240">
        <v>32836190</v>
      </c>
      <c r="AJ69" s="240" t="s">
        <v>440</v>
      </c>
      <c r="AK69" s="241" t="s">
        <v>440</v>
      </c>
      <c r="AL69" s="240">
        <v>3</v>
      </c>
      <c r="AM69" s="241">
        <v>1079545</v>
      </c>
      <c r="AN69" s="241">
        <v>22261824</v>
      </c>
      <c r="AO69" s="240">
        <v>3587816682</v>
      </c>
      <c r="AP69" s="302">
        <v>10.98</v>
      </c>
      <c r="AQ69" s="302">
        <v>32.92</v>
      </c>
      <c r="AR69" s="541" t="s">
        <v>151</v>
      </c>
    </row>
    <row r="70" spans="1:44" ht="23.25" customHeight="1" x14ac:dyDescent="0.15">
      <c r="A70">
        <v>65</v>
      </c>
      <c r="B70" s="323" t="s">
        <v>110</v>
      </c>
      <c r="C70" s="324" t="s">
        <v>226</v>
      </c>
      <c r="D70" s="323" t="s">
        <v>87</v>
      </c>
      <c r="E70" s="330" t="s">
        <v>38</v>
      </c>
      <c r="F70" s="240">
        <v>11842570</v>
      </c>
      <c r="G70" s="240">
        <v>28512949</v>
      </c>
      <c r="H70" s="240">
        <v>182880681</v>
      </c>
      <c r="I70" s="283"/>
      <c r="J70" s="285">
        <v>1.7</v>
      </c>
      <c r="K70" s="284">
        <v>223236201</v>
      </c>
      <c r="L70" s="240">
        <v>88840319</v>
      </c>
      <c r="M70" s="240">
        <v>357068694</v>
      </c>
      <c r="N70" s="240">
        <v>4077989</v>
      </c>
      <c r="O70" s="240">
        <v>13987610</v>
      </c>
      <c r="P70" s="240">
        <v>92918308</v>
      </c>
      <c r="Q70" s="240"/>
      <c r="R70" s="240">
        <v>371056304</v>
      </c>
      <c r="S70" s="240"/>
      <c r="T70" s="283"/>
      <c r="U70" s="288">
        <v>53</v>
      </c>
      <c r="V70" s="284">
        <v>463974612</v>
      </c>
      <c r="W70" s="240">
        <v>687210813</v>
      </c>
      <c r="X70" s="241"/>
      <c r="Y70" s="290" t="s">
        <v>440</v>
      </c>
      <c r="Z70" s="5" t="s">
        <v>254</v>
      </c>
      <c r="AA70" s="241">
        <v>41034</v>
      </c>
      <c r="AB70" s="5"/>
      <c r="AC70" s="241"/>
      <c r="AD70" s="5"/>
      <c r="AE70" s="241"/>
      <c r="AF70" s="5"/>
      <c r="AG70" s="241"/>
      <c r="AH70" s="240">
        <v>16747</v>
      </c>
      <c r="AI70" s="240"/>
      <c r="AJ70" s="240"/>
      <c r="AK70" s="241"/>
      <c r="AL70" s="241">
        <v>5</v>
      </c>
      <c r="AM70" s="241">
        <v>1882769</v>
      </c>
      <c r="AN70" s="241">
        <v>12563268</v>
      </c>
      <c r="AO70" s="240">
        <v>7514000000</v>
      </c>
      <c r="AP70" s="302">
        <v>9.15</v>
      </c>
      <c r="AQ70" s="302">
        <v>15.24</v>
      </c>
      <c r="AR70" s="541" t="s">
        <v>151</v>
      </c>
    </row>
    <row r="71" spans="1:44" ht="23.25" customHeight="1" x14ac:dyDescent="0.15">
      <c r="A71">
        <v>66</v>
      </c>
      <c r="B71" s="328" t="s">
        <v>112</v>
      </c>
      <c r="C71" s="327" t="s">
        <v>343</v>
      </c>
      <c r="D71" s="328" t="s">
        <v>338</v>
      </c>
      <c r="E71" s="328" t="s">
        <v>339</v>
      </c>
      <c r="F71" s="240">
        <v>647370624</v>
      </c>
      <c r="G71" s="240">
        <v>154663317</v>
      </c>
      <c r="H71" s="240"/>
      <c r="I71" s="283">
        <v>13064767821</v>
      </c>
      <c r="J71" s="285">
        <v>92.9</v>
      </c>
      <c r="K71" s="284">
        <v>13866801762</v>
      </c>
      <c r="L71" s="240"/>
      <c r="M71" s="240"/>
      <c r="N71" s="240"/>
      <c r="O71" s="240"/>
      <c r="P71" s="240"/>
      <c r="Q71" s="240"/>
      <c r="R71" s="240"/>
      <c r="S71" s="240"/>
      <c r="T71" s="283"/>
      <c r="U71" s="288"/>
      <c r="V71" s="284"/>
      <c r="W71" s="240">
        <v>13866801762</v>
      </c>
      <c r="X71" s="241"/>
      <c r="Y71" s="290"/>
      <c r="Z71" s="5" t="s">
        <v>373</v>
      </c>
      <c r="AA71" s="241">
        <v>31358884</v>
      </c>
      <c r="AB71" s="327" t="s">
        <v>476</v>
      </c>
      <c r="AC71" s="241">
        <v>4084</v>
      </c>
      <c r="AD71" s="5"/>
      <c r="AE71" s="241"/>
      <c r="AF71" s="5"/>
      <c r="AG71" s="241"/>
      <c r="AH71" s="240">
        <v>442</v>
      </c>
      <c r="AI71" s="240">
        <v>3395397</v>
      </c>
      <c r="AJ71" s="240" t="s">
        <v>440</v>
      </c>
      <c r="AK71" s="241" t="s">
        <v>440</v>
      </c>
      <c r="AL71" s="241">
        <v>109</v>
      </c>
      <c r="AM71" s="241">
        <v>37991237</v>
      </c>
      <c r="AN71" s="241">
        <v>149217709</v>
      </c>
      <c r="AO71" s="241"/>
      <c r="AP71" s="302"/>
      <c r="AQ71" s="302">
        <v>4.67</v>
      </c>
      <c r="AR71" s="541" t="s">
        <v>148</v>
      </c>
    </row>
    <row r="72" spans="1:44" ht="23.25" customHeight="1" x14ac:dyDescent="0.15">
      <c r="A72">
        <v>67</v>
      </c>
      <c r="B72" s="323" t="s">
        <v>112</v>
      </c>
      <c r="C72" s="324" t="s">
        <v>260</v>
      </c>
      <c r="D72" s="323" t="s">
        <v>35</v>
      </c>
      <c r="E72" s="330" t="s">
        <v>36</v>
      </c>
      <c r="F72" s="240">
        <v>43190550</v>
      </c>
      <c r="G72" s="240">
        <v>371759</v>
      </c>
      <c r="H72" s="240"/>
      <c r="I72" s="283">
        <v>190924221</v>
      </c>
      <c r="J72" s="285">
        <v>6.2</v>
      </c>
      <c r="K72" s="284">
        <v>234486531</v>
      </c>
      <c r="L72" s="240"/>
      <c r="M72" s="240"/>
      <c r="N72" s="240"/>
      <c r="O72" s="240"/>
      <c r="P72" s="240"/>
      <c r="Q72" s="240"/>
      <c r="R72" s="240"/>
      <c r="S72" s="240"/>
      <c r="T72" s="283"/>
      <c r="U72" s="288"/>
      <c r="V72" s="284"/>
      <c r="W72" s="240">
        <v>234486531</v>
      </c>
      <c r="X72" s="241"/>
      <c r="Y72" s="290" t="s">
        <v>440</v>
      </c>
      <c r="Z72" s="499" t="s">
        <v>255</v>
      </c>
      <c r="AA72" s="241">
        <v>81</v>
      </c>
      <c r="AB72" s="499" t="s">
        <v>256</v>
      </c>
      <c r="AC72" s="241">
        <v>1330</v>
      </c>
      <c r="AD72" s="5"/>
      <c r="AE72" s="241"/>
      <c r="AF72" s="5"/>
      <c r="AG72" s="241"/>
      <c r="AH72" s="240">
        <v>104100</v>
      </c>
      <c r="AI72" s="240">
        <v>169965</v>
      </c>
      <c r="AJ72" s="240"/>
      <c r="AK72" s="241"/>
      <c r="AL72" s="241">
        <v>1</v>
      </c>
      <c r="AM72" s="241"/>
      <c r="AN72" s="241"/>
      <c r="AO72" s="241"/>
      <c r="AP72" s="302" t="s">
        <v>440</v>
      </c>
      <c r="AQ72" s="302">
        <v>18.420000000000002</v>
      </c>
      <c r="AR72" s="541" t="s">
        <v>148</v>
      </c>
    </row>
    <row r="73" spans="1:44" ht="23.25" customHeight="1" x14ac:dyDescent="0.15">
      <c r="A73">
        <v>68</v>
      </c>
      <c r="B73" s="323" t="s">
        <v>112</v>
      </c>
      <c r="C73" s="324" t="s">
        <v>261</v>
      </c>
      <c r="D73" s="323" t="s">
        <v>35</v>
      </c>
      <c r="E73" s="330" t="s">
        <v>36</v>
      </c>
      <c r="F73" s="240">
        <v>3483108</v>
      </c>
      <c r="G73" s="240">
        <v>29980</v>
      </c>
      <c r="H73" s="240"/>
      <c r="I73" s="283">
        <v>4919032</v>
      </c>
      <c r="J73" s="285">
        <v>0.5</v>
      </c>
      <c r="K73" s="284">
        <v>8432121</v>
      </c>
      <c r="L73" s="240"/>
      <c r="M73" s="240"/>
      <c r="N73" s="240"/>
      <c r="O73" s="240"/>
      <c r="P73" s="240"/>
      <c r="Q73" s="240"/>
      <c r="R73" s="240"/>
      <c r="S73" s="240"/>
      <c r="T73" s="283"/>
      <c r="U73" s="288"/>
      <c r="V73" s="284"/>
      <c r="W73" s="240">
        <v>8432121</v>
      </c>
      <c r="X73" s="241"/>
      <c r="Y73" s="290" t="s">
        <v>440</v>
      </c>
      <c r="Z73" s="499" t="s">
        <v>255</v>
      </c>
      <c r="AA73" s="241">
        <v>81</v>
      </c>
      <c r="AB73" s="5"/>
      <c r="AC73" s="241"/>
      <c r="AD73" s="5"/>
      <c r="AE73" s="241"/>
      <c r="AF73" s="5"/>
      <c r="AG73" s="241"/>
      <c r="AH73" s="240">
        <v>104100</v>
      </c>
      <c r="AI73" s="240"/>
      <c r="AJ73" s="240"/>
      <c r="AK73" s="241"/>
      <c r="AL73" s="240"/>
      <c r="AM73" s="240">
        <v>23101</v>
      </c>
      <c r="AN73" s="240"/>
      <c r="AO73" s="241"/>
      <c r="AP73" s="302" t="s">
        <v>440</v>
      </c>
      <c r="AQ73" s="302">
        <v>41.31</v>
      </c>
      <c r="AR73" s="541"/>
    </row>
    <row r="74" spans="1:44" ht="23.25" customHeight="1" x14ac:dyDescent="0.15">
      <c r="A74">
        <v>69</v>
      </c>
      <c r="B74" s="323" t="s">
        <v>112</v>
      </c>
      <c r="C74" s="324" t="s">
        <v>227</v>
      </c>
      <c r="D74" s="323" t="s">
        <v>35</v>
      </c>
      <c r="E74" s="330" t="s">
        <v>36</v>
      </c>
      <c r="F74" s="240">
        <v>39707441</v>
      </c>
      <c r="G74" s="241">
        <v>341778</v>
      </c>
      <c r="H74" s="240"/>
      <c r="I74" s="283">
        <v>186005189</v>
      </c>
      <c r="J74" s="288">
        <v>5.7</v>
      </c>
      <c r="K74" s="284">
        <v>226054409</v>
      </c>
      <c r="L74" s="241"/>
      <c r="M74" s="241"/>
      <c r="N74" s="241"/>
      <c r="O74" s="241"/>
      <c r="P74" s="240"/>
      <c r="Q74" s="241"/>
      <c r="R74" s="240"/>
      <c r="S74" s="241"/>
      <c r="T74" s="305"/>
      <c r="U74" s="288"/>
      <c r="V74" s="284"/>
      <c r="W74" s="240">
        <v>226054409</v>
      </c>
      <c r="X74" s="240"/>
      <c r="Y74" s="290" t="s">
        <v>440</v>
      </c>
      <c r="Z74" s="499" t="s">
        <v>256</v>
      </c>
      <c r="AA74" s="241">
        <v>1330</v>
      </c>
      <c r="AB74" s="5"/>
      <c r="AC74" s="241"/>
      <c r="AD74" s="5"/>
      <c r="AE74" s="241"/>
      <c r="AF74" s="5"/>
      <c r="AG74" s="241"/>
      <c r="AH74" s="240">
        <v>169965</v>
      </c>
      <c r="AI74" s="241"/>
      <c r="AJ74" s="241"/>
      <c r="AK74" s="241"/>
      <c r="AL74" s="241"/>
      <c r="AM74" s="240">
        <v>619327</v>
      </c>
      <c r="AN74" s="240">
        <v>39658668</v>
      </c>
      <c r="AO74" s="241"/>
      <c r="AP74" s="302" t="s">
        <v>440</v>
      </c>
      <c r="AQ74" s="302">
        <v>17.57</v>
      </c>
      <c r="AR74" s="541"/>
    </row>
    <row r="75" spans="1:44" ht="23.25" customHeight="1" x14ac:dyDescent="0.15">
      <c r="A75">
        <v>70</v>
      </c>
      <c r="B75" s="323" t="s">
        <v>112</v>
      </c>
      <c r="C75" s="324" t="s">
        <v>113</v>
      </c>
      <c r="D75" s="328" t="s">
        <v>35</v>
      </c>
      <c r="E75" s="328" t="s">
        <v>36</v>
      </c>
      <c r="F75" s="240">
        <v>29258115</v>
      </c>
      <c r="G75" s="241">
        <v>1572624</v>
      </c>
      <c r="H75" s="240"/>
      <c r="I75" s="283">
        <v>90460340</v>
      </c>
      <c r="J75" s="288">
        <v>4.2</v>
      </c>
      <c r="K75" s="284">
        <v>121291079</v>
      </c>
      <c r="L75" s="241"/>
      <c r="M75" s="241"/>
      <c r="N75" s="241"/>
      <c r="O75" s="241"/>
      <c r="P75" s="240"/>
      <c r="Q75" s="241"/>
      <c r="R75" s="240"/>
      <c r="S75" s="241"/>
      <c r="T75" s="305"/>
      <c r="U75" s="288"/>
      <c r="V75" s="284"/>
      <c r="W75" s="240">
        <v>121291079</v>
      </c>
      <c r="X75" s="240"/>
      <c r="Y75" s="290" t="s">
        <v>440</v>
      </c>
      <c r="Z75" s="5" t="s">
        <v>231</v>
      </c>
      <c r="AA75" s="241">
        <v>6360665945</v>
      </c>
      <c r="AB75" s="5" t="s">
        <v>257</v>
      </c>
      <c r="AC75" s="241">
        <v>472</v>
      </c>
      <c r="AD75" s="5"/>
      <c r="AE75" s="241"/>
      <c r="AF75" s="5"/>
      <c r="AG75" s="241"/>
      <c r="AH75" s="462">
        <v>1.9E-2</v>
      </c>
      <c r="AI75" s="241">
        <v>256972</v>
      </c>
      <c r="AJ75" s="241"/>
      <c r="AK75" s="241"/>
      <c r="AL75" s="313">
        <v>0.9</v>
      </c>
      <c r="AM75" s="240">
        <v>332304</v>
      </c>
      <c r="AN75" s="240">
        <v>28878828</v>
      </c>
      <c r="AO75" s="241"/>
      <c r="AP75" s="302" t="s">
        <v>440</v>
      </c>
      <c r="AQ75" s="302">
        <v>24.12</v>
      </c>
      <c r="AR75" s="541" t="s">
        <v>148</v>
      </c>
    </row>
    <row r="76" spans="1:44" ht="23.25" customHeight="1" x14ac:dyDescent="0.15">
      <c r="A76">
        <v>71</v>
      </c>
      <c r="B76" s="328" t="s">
        <v>112</v>
      </c>
      <c r="C76" s="327" t="s">
        <v>342</v>
      </c>
      <c r="D76" s="328" t="s">
        <v>338</v>
      </c>
      <c r="E76" s="328" t="s">
        <v>339</v>
      </c>
      <c r="F76" s="240">
        <v>10449326</v>
      </c>
      <c r="G76" s="241">
        <v>1426837</v>
      </c>
      <c r="H76" s="240"/>
      <c r="I76" s="283">
        <v>44021020</v>
      </c>
      <c r="J76" s="288">
        <v>1.5</v>
      </c>
      <c r="K76" s="284">
        <v>55897184</v>
      </c>
      <c r="L76" s="241"/>
      <c r="M76" s="241"/>
      <c r="N76" s="241"/>
      <c r="O76" s="241"/>
      <c r="P76" s="240"/>
      <c r="Q76" s="241"/>
      <c r="R76" s="240"/>
      <c r="S76" s="241"/>
      <c r="T76" s="305"/>
      <c r="U76" s="288"/>
      <c r="V76" s="284"/>
      <c r="W76" s="240">
        <v>55897184</v>
      </c>
      <c r="X76" s="240">
        <v>35660000</v>
      </c>
      <c r="Y76" s="290">
        <v>63.8</v>
      </c>
      <c r="Z76" s="5" t="s">
        <v>450</v>
      </c>
      <c r="AA76" s="241">
        <v>2611</v>
      </c>
      <c r="AB76" s="5"/>
      <c r="AC76" s="241"/>
      <c r="AD76" s="5"/>
      <c r="AE76" s="241"/>
      <c r="AF76" s="5"/>
      <c r="AG76" s="241"/>
      <c r="AH76" s="240">
        <v>21408</v>
      </c>
      <c r="AI76" s="241" t="s">
        <v>440</v>
      </c>
      <c r="AJ76" s="241" t="s">
        <v>440</v>
      </c>
      <c r="AK76" s="241" t="s">
        <v>440</v>
      </c>
      <c r="AL76" s="313">
        <v>0.4</v>
      </c>
      <c r="AM76" s="240">
        <v>153142</v>
      </c>
      <c r="AN76" s="240">
        <v>37264789</v>
      </c>
      <c r="AO76" s="241"/>
      <c r="AP76" s="302"/>
      <c r="AQ76" s="302">
        <v>18.690000000000001</v>
      </c>
      <c r="AR76" s="541" t="s">
        <v>148</v>
      </c>
    </row>
    <row r="77" spans="1:44" ht="23.25" customHeight="1" x14ac:dyDescent="0.15">
      <c r="A77">
        <v>72</v>
      </c>
      <c r="B77" s="328" t="s">
        <v>112</v>
      </c>
      <c r="C77" s="327" t="s">
        <v>344</v>
      </c>
      <c r="D77" s="328" t="s">
        <v>338</v>
      </c>
      <c r="E77" s="328" t="s">
        <v>345</v>
      </c>
      <c r="F77" s="240">
        <v>696621</v>
      </c>
      <c r="G77" s="241">
        <v>3520500</v>
      </c>
      <c r="H77" s="240" t="s">
        <v>440</v>
      </c>
      <c r="I77" s="283"/>
      <c r="J77" s="288">
        <v>0.1</v>
      </c>
      <c r="K77" s="284">
        <v>4217122</v>
      </c>
      <c r="L77" s="241">
        <v>1222091576</v>
      </c>
      <c r="M77" s="241">
        <v>450715860</v>
      </c>
      <c r="N77" s="241"/>
      <c r="O77" s="241">
        <v>409093769</v>
      </c>
      <c r="P77" s="240">
        <v>1222091576</v>
      </c>
      <c r="Q77" s="241">
        <v>3092875</v>
      </c>
      <c r="R77" s="240">
        <v>859809629</v>
      </c>
      <c r="S77" s="241"/>
      <c r="T77" s="305"/>
      <c r="U77" s="288">
        <v>145</v>
      </c>
      <c r="V77" s="284">
        <v>2084994080</v>
      </c>
      <c r="W77" s="240">
        <v>2089211202</v>
      </c>
      <c r="X77" s="240">
        <v>1680110472</v>
      </c>
      <c r="Y77" s="290">
        <v>80.42</v>
      </c>
      <c r="Z77" s="5" t="s">
        <v>451</v>
      </c>
      <c r="AA77" s="241">
        <v>460105</v>
      </c>
      <c r="AB77" s="5"/>
      <c r="AC77" s="241"/>
      <c r="AD77" s="5"/>
      <c r="AE77" s="241"/>
      <c r="AF77" s="5"/>
      <c r="AG77" s="241"/>
      <c r="AH77" s="240">
        <v>4540</v>
      </c>
      <c r="AI77" s="241" t="s">
        <v>440</v>
      </c>
      <c r="AJ77" s="241" t="s">
        <v>440</v>
      </c>
      <c r="AK77" s="241" t="s">
        <v>440</v>
      </c>
      <c r="AL77" s="241">
        <v>16</v>
      </c>
      <c r="AM77" s="240">
        <v>5723866</v>
      </c>
      <c r="AN77" s="240">
        <v>14398423</v>
      </c>
      <c r="AO77" s="241"/>
      <c r="AP77" s="302"/>
      <c r="AQ77" s="302">
        <v>58.68</v>
      </c>
      <c r="AR77" s="541" t="s">
        <v>149</v>
      </c>
    </row>
    <row r="78" spans="1:44" ht="23.25" customHeight="1" x14ac:dyDescent="0.15">
      <c r="A78">
        <v>73</v>
      </c>
      <c r="B78" s="323" t="s">
        <v>112</v>
      </c>
      <c r="C78" s="324" t="s">
        <v>197</v>
      </c>
      <c r="D78" s="328" t="s">
        <v>35</v>
      </c>
      <c r="E78" s="328" t="s">
        <v>38</v>
      </c>
      <c r="F78" s="240">
        <v>64785825</v>
      </c>
      <c r="G78" s="241">
        <v>14069862</v>
      </c>
      <c r="H78" s="240"/>
      <c r="I78" s="283">
        <v>16548324</v>
      </c>
      <c r="J78" s="288">
        <v>9.3000000000000007</v>
      </c>
      <c r="K78" s="284">
        <v>95404012</v>
      </c>
      <c r="L78" s="241">
        <v>494886534</v>
      </c>
      <c r="M78" s="241">
        <v>161225338</v>
      </c>
      <c r="N78" s="241">
        <v>94458981</v>
      </c>
      <c r="O78" s="241">
        <v>28922273</v>
      </c>
      <c r="P78" s="240">
        <v>589345515</v>
      </c>
      <c r="Q78" s="241">
        <v>-1639364</v>
      </c>
      <c r="R78" s="240">
        <v>190147611</v>
      </c>
      <c r="S78" s="241">
        <v>204351094</v>
      </c>
      <c r="T78" s="305"/>
      <c r="U78" s="288">
        <v>69.2</v>
      </c>
      <c r="V78" s="284">
        <v>982204856</v>
      </c>
      <c r="W78" s="240">
        <v>1077608868</v>
      </c>
      <c r="X78" s="240">
        <v>216262367</v>
      </c>
      <c r="Y78" s="290">
        <v>20.07</v>
      </c>
      <c r="Z78" s="309" t="s">
        <v>262</v>
      </c>
      <c r="AA78" s="241">
        <v>2260</v>
      </c>
      <c r="AB78" s="499" t="s">
        <v>258</v>
      </c>
      <c r="AC78" s="241">
        <v>266</v>
      </c>
      <c r="AD78" s="5"/>
      <c r="AE78" s="241"/>
      <c r="AF78" s="5"/>
      <c r="AG78" s="241"/>
      <c r="AH78" s="240">
        <v>476818</v>
      </c>
      <c r="AI78" s="241">
        <v>4051161</v>
      </c>
      <c r="AJ78" s="241"/>
      <c r="AK78" s="241"/>
      <c r="AL78" s="241">
        <v>8</v>
      </c>
      <c r="AM78" s="240">
        <v>2952353</v>
      </c>
      <c r="AN78" s="240">
        <v>13727501</v>
      </c>
      <c r="AO78" s="241"/>
      <c r="AP78" s="302" t="s">
        <v>440</v>
      </c>
      <c r="AQ78" s="302">
        <v>60.55</v>
      </c>
      <c r="AR78" s="541" t="s">
        <v>149</v>
      </c>
    </row>
    <row r="79" spans="1:44" ht="23.25" customHeight="1" x14ac:dyDescent="0.15">
      <c r="A79">
        <v>74</v>
      </c>
      <c r="B79" s="328" t="s">
        <v>114</v>
      </c>
      <c r="C79" s="327" t="s">
        <v>340</v>
      </c>
      <c r="D79" s="328" t="s">
        <v>338</v>
      </c>
      <c r="E79" s="328" t="s">
        <v>339</v>
      </c>
      <c r="F79" s="240">
        <v>29954736</v>
      </c>
      <c r="G79" s="241">
        <v>16063033</v>
      </c>
      <c r="H79" s="240">
        <v>4637959</v>
      </c>
      <c r="I79" s="283">
        <v>4388792430</v>
      </c>
      <c r="J79" s="288">
        <v>4.3</v>
      </c>
      <c r="K79" s="284">
        <v>4439448159</v>
      </c>
      <c r="L79" s="241"/>
      <c r="M79" s="241"/>
      <c r="N79" s="241"/>
      <c r="O79" s="241"/>
      <c r="P79" s="240"/>
      <c r="Q79" s="241"/>
      <c r="R79" s="240"/>
      <c r="S79" s="241"/>
      <c r="T79" s="305"/>
      <c r="U79" s="288"/>
      <c r="V79" s="284"/>
      <c r="W79" s="240">
        <v>4439448159</v>
      </c>
      <c r="X79" s="240"/>
      <c r="Y79" s="290"/>
      <c r="Z79" s="5" t="s">
        <v>259</v>
      </c>
      <c r="AA79" s="241">
        <v>43</v>
      </c>
      <c r="AB79" s="5"/>
      <c r="AC79" s="241"/>
      <c r="AD79" s="5"/>
      <c r="AE79" s="241"/>
      <c r="AF79" s="5"/>
      <c r="AG79" s="241"/>
      <c r="AH79" s="240">
        <v>103242980</v>
      </c>
      <c r="AI79" s="241" t="s">
        <v>440</v>
      </c>
      <c r="AJ79" s="241" t="s">
        <v>440</v>
      </c>
      <c r="AK79" s="241" t="s">
        <v>440</v>
      </c>
      <c r="AL79" s="241">
        <v>34</v>
      </c>
      <c r="AM79" s="240">
        <v>12162871</v>
      </c>
      <c r="AN79" s="240">
        <v>1032429804</v>
      </c>
      <c r="AO79" s="241"/>
      <c r="AP79" s="302"/>
      <c r="AQ79" s="302">
        <v>0.67</v>
      </c>
      <c r="AR79" s="541" t="s">
        <v>148</v>
      </c>
    </row>
    <row r="80" spans="1:44" ht="23.25" customHeight="1" x14ac:dyDescent="0.15">
      <c r="A80">
        <v>75</v>
      </c>
      <c r="B80" s="328" t="s">
        <v>114</v>
      </c>
      <c r="C80" s="327" t="s">
        <v>439</v>
      </c>
      <c r="D80" s="328" t="s">
        <v>338</v>
      </c>
      <c r="E80" s="328" t="s">
        <v>339</v>
      </c>
      <c r="F80" s="240">
        <v>4179730</v>
      </c>
      <c r="G80" s="241">
        <v>1172135</v>
      </c>
      <c r="H80" s="240">
        <v>711191</v>
      </c>
      <c r="I80" s="283">
        <v>100786097</v>
      </c>
      <c r="J80" s="288">
        <v>0.6</v>
      </c>
      <c r="K80" s="284">
        <v>106849155</v>
      </c>
      <c r="L80" s="241"/>
      <c r="M80" s="241"/>
      <c r="N80" s="241"/>
      <c r="O80" s="241"/>
      <c r="P80" s="240"/>
      <c r="Q80" s="241"/>
      <c r="R80" s="240"/>
      <c r="S80" s="241"/>
      <c r="T80" s="305"/>
      <c r="U80" s="288"/>
      <c r="V80" s="284"/>
      <c r="W80" s="240">
        <v>106849155</v>
      </c>
      <c r="X80" s="240"/>
      <c r="Y80" s="290"/>
      <c r="Z80" s="5" t="s">
        <v>375</v>
      </c>
      <c r="AA80" s="241">
        <v>7</v>
      </c>
      <c r="AB80" s="5"/>
      <c r="AC80" s="241"/>
      <c r="AD80" s="5"/>
      <c r="AE80" s="241"/>
      <c r="AF80" s="5"/>
      <c r="AG80" s="241"/>
      <c r="AH80" s="240">
        <v>15264165</v>
      </c>
      <c r="AI80" s="241" t="s">
        <v>440</v>
      </c>
      <c r="AJ80" s="241" t="s">
        <v>440</v>
      </c>
      <c r="AK80" s="241" t="s">
        <v>440</v>
      </c>
      <c r="AL80" s="313">
        <v>0.8</v>
      </c>
      <c r="AM80" s="240">
        <v>292737</v>
      </c>
      <c r="AN80" s="240"/>
      <c r="AO80" s="241"/>
      <c r="AP80" s="302"/>
      <c r="AQ80" s="302">
        <v>3.91</v>
      </c>
      <c r="AR80" s="541" t="s">
        <v>148</v>
      </c>
    </row>
    <row r="81" spans="1:44" ht="23.25" customHeight="1" x14ac:dyDescent="0.15">
      <c r="A81">
        <v>76</v>
      </c>
      <c r="B81" s="328" t="s">
        <v>114</v>
      </c>
      <c r="C81" s="327" t="s">
        <v>341</v>
      </c>
      <c r="D81" s="328" t="s">
        <v>338</v>
      </c>
      <c r="E81" s="328" t="s">
        <v>339</v>
      </c>
      <c r="F81" s="240">
        <v>6966217</v>
      </c>
      <c r="G81" s="241">
        <v>2702760</v>
      </c>
      <c r="H81" s="240">
        <v>853086</v>
      </c>
      <c r="I81" s="283">
        <v>58160408</v>
      </c>
      <c r="J81" s="288">
        <v>1</v>
      </c>
      <c r="K81" s="284">
        <v>68682473</v>
      </c>
      <c r="L81" s="241"/>
      <c r="M81" s="241"/>
      <c r="N81" s="241"/>
      <c r="O81" s="241"/>
      <c r="P81" s="240"/>
      <c r="Q81" s="241"/>
      <c r="R81" s="240"/>
      <c r="S81" s="241"/>
      <c r="T81" s="305"/>
      <c r="U81" s="288"/>
      <c r="V81" s="284"/>
      <c r="W81" s="240">
        <v>68682473</v>
      </c>
      <c r="X81" s="240">
        <v>9657600</v>
      </c>
      <c r="Y81" s="290">
        <v>14.06</v>
      </c>
      <c r="Z81" s="5" t="s">
        <v>450</v>
      </c>
      <c r="AA81" s="241">
        <v>1509</v>
      </c>
      <c r="AB81" s="5"/>
      <c r="AC81" s="241"/>
      <c r="AD81" s="5"/>
      <c r="AE81" s="241"/>
      <c r="AF81" s="5"/>
      <c r="AG81" s="241"/>
      <c r="AH81" s="240">
        <v>45515</v>
      </c>
      <c r="AI81" s="241" t="s">
        <v>440</v>
      </c>
      <c r="AJ81" s="241" t="s">
        <v>440</v>
      </c>
      <c r="AK81" s="241" t="s">
        <v>440</v>
      </c>
      <c r="AL81" s="313">
        <v>0.5</v>
      </c>
      <c r="AM81" s="240">
        <v>188171</v>
      </c>
      <c r="AN81" s="240">
        <v>68682473</v>
      </c>
      <c r="AO81" s="241"/>
      <c r="AP81" s="302"/>
      <c r="AQ81" s="302">
        <v>10.14</v>
      </c>
      <c r="AR81" s="541" t="s">
        <v>148</v>
      </c>
    </row>
    <row r="82" spans="1:44" ht="23.25" customHeight="1" x14ac:dyDescent="0.15">
      <c r="A82">
        <v>77</v>
      </c>
      <c r="B82" s="331" t="s">
        <v>114</v>
      </c>
      <c r="C82" s="324" t="s">
        <v>116</v>
      </c>
      <c r="D82" s="328" t="s">
        <v>35</v>
      </c>
      <c r="E82" s="328" t="s">
        <v>36</v>
      </c>
      <c r="F82" s="240">
        <v>5572974</v>
      </c>
      <c r="G82" s="241">
        <v>2767131</v>
      </c>
      <c r="H82" s="240">
        <v>47487</v>
      </c>
      <c r="I82" s="283">
        <v>1085332</v>
      </c>
      <c r="J82" s="288">
        <v>0.8</v>
      </c>
      <c r="K82" s="284">
        <v>9472925</v>
      </c>
      <c r="L82" s="241"/>
      <c r="M82" s="241"/>
      <c r="N82" s="241"/>
      <c r="O82" s="241"/>
      <c r="P82" s="240"/>
      <c r="Q82" s="241"/>
      <c r="R82" s="240"/>
      <c r="S82" s="241"/>
      <c r="T82" s="305"/>
      <c r="U82" s="288"/>
      <c r="V82" s="284"/>
      <c r="W82" s="240">
        <v>9472925</v>
      </c>
      <c r="X82" s="240">
        <v>3195900</v>
      </c>
      <c r="Y82" s="290">
        <v>33.74</v>
      </c>
      <c r="Z82" s="5" t="s">
        <v>241</v>
      </c>
      <c r="AA82" s="241">
        <v>67</v>
      </c>
      <c r="AB82" s="5"/>
      <c r="AC82" s="241"/>
      <c r="AD82" s="5"/>
      <c r="AE82" s="241"/>
      <c r="AF82" s="5"/>
      <c r="AG82" s="241"/>
      <c r="AH82" s="240">
        <v>141386</v>
      </c>
      <c r="AI82" s="241"/>
      <c r="AJ82" s="241"/>
      <c r="AK82" s="241"/>
      <c r="AL82" s="314">
        <v>7.0000000000000007E-2</v>
      </c>
      <c r="AM82" s="240">
        <v>25953</v>
      </c>
      <c r="AN82" s="240"/>
      <c r="AO82" s="241"/>
      <c r="AP82" s="302" t="s">
        <v>440</v>
      </c>
      <c r="AQ82" s="302">
        <v>58.83</v>
      </c>
      <c r="AR82" s="541" t="s">
        <v>148</v>
      </c>
    </row>
    <row r="83" spans="1:44" ht="23.25" customHeight="1" x14ac:dyDescent="0.15">
      <c r="A83">
        <v>78</v>
      </c>
      <c r="B83" s="331" t="s">
        <v>114</v>
      </c>
      <c r="C83" s="324" t="s">
        <v>115</v>
      </c>
      <c r="D83" s="328" t="s">
        <v>87</v>
      </c>
      <c r="E83" s="328" t="s">
        <v>38</v>
      </c>
      <c r="F83" s="240">
        <v>28561493</v>
      </c>
      <c r="G83" s="241">
        <v>12023807</v>
      </c>
      <c r="H83" s="240">
        <v>4746092</v>
      </c>
      <c r="I83" s="283">
        <v>127440000</v>
      </c>
      <c r="J83" s="288">
        <v>4.0999999999999996</v>
      </c>
      <c r="K83" s="284">
        <v>172771393</v>
      </c>
      <c r="L83" s="241">
        <v>16353290</v>
      </c>
      <c r="M83" s="241">
        <v>80177507</v>
      </c>
      <c r="N83" s="241">
        <v>9663259</v>
      </c>
      <c r="O83" s="241">
        <v>9216981</v>
      </c>
      <c r="P83" s="240">
        <v>26016549</v>
      </c>
      <c r="Q83" s="241">
        <v>7062392</v>
      </c>
      <c r="R83" s="240">
        <v>89394488</v>
      </c>
      <c r="S83" s="241"/>
      <c r="T83" s="305"/>
      <c r="U83" s="288">
        <v>3</v>
      </c>
      <c r="V83" s="284">
        <v>122473429</v>
      </c>
      <c r="W83" s="240">
        <v>295244822</v>
      </c>
      <c r="X83" s="240"/>
      <c r="Y83" s="290" t="s">
        <v>440</v>
      </c>
      <c r="Z83" s="5" t="s">
        <v>259</v>
      </c>
      <c r="AA83" s="241">
        <v>169</v>
      </c>
      <c r="AB83" s="5"/>
      <c r="AC83" s="241"/>
      <c r="AD83" s="5"/>
      <c r="AE83" s="241"/>
      <c r="AF83" s="5"/>
      <c r="AG83" s="241"/>
      <c r="AH83" s="240">
        <v>1747010</v>
      </c>
      <c r="AI83" s="241"/>
      <c r="AJ83" s="241"/>
      <c r="AK83" s="241"/>
      <c r="AL83" s="241">
        <v>2</v>
      </c>
      <c r="AM83" s="240">
        <v>808889</v>
      </c>
      <c r="AN83" s="240">
        <v>41583777</v>
      </c>
      <c r="AO83" s="241">
        <v>4798924264</v>
      </c>
      <c r="AP83" s="302">
        <v>6.15</v>
      </c>
      <c r="AQ83" s="302">
        <v>20.88</v>
      </c>
      <c r="AR83" s="541" t="s">
        <v>151</v>
      </c>
    </row>
    <row r="84" spans="1:44" ht="23.25" customHeight="1" x14ac:dyDescent="0.15">
      <c r="A84">
        <v>79</v>
      </c>
      <c r="B84" s="328" t="s">
        <v>117</v>
      </c>
      <c r="C84" s="327" t="s">
        <v>336</v>
      </c>
      <c r="D84" s="328" t="s">
        <v>338</v>
      </c>
      <c r="E84" s="328" t="s">
        <v>339</v>
      </c>
      <c r="F84" s="240">
        <v>1671892282</v>
      </c>
      <c r="G84" s="241">
        <v>2171845602</v>
      </c>
      <c r="H84" s="240">
        <v>104304247</v>
      </c>
      <c r="I84" s="283">
        <v>1061458559</v>
      </c>
      <c r="J84" s="288">
        <v>240</v>
      </c>
      <c r="K84" s="284">
        <v>5009500691</v>
      </c>
      <c r="L84" s="241"/>
      <c r="M84" s="241"/>
      <c r="N84" s="241"/>
      <c r="O84" s="241"/>
      <c r="P84" s="240"/>
      <c r="Q84" s="241"/>
      <c r="R84" s="240"/>
      <c r="S84" s="241"/>
      <c r="T84" s="305"/>
      <c r="U84" s="288"/>
      <c r="V84" s="284"/>
      <c r="W84" s="240">
        <v>5009500691</v>
      </c>
      <c r="X84" s="240"/>
      <c r="Y84" s="290"/>
      <c r="Z84" s="5" t="s">
        <v>376</v>
      </c>
      <c r="AA84" s="241">
        <v>720</v>
      </c>
      <c r="AB84" s="5"/>
      <c r="AC84" s="241"/>
      <c r="AD84" s="5"/>
      <c r="AE84" s="241"/>
      <c r="AF84" s="5"/>
      <c r="AG84" s="241"/>
      <c r="AH84" s="240">
        <v>6957639</v>
      </c>
      <c r="AI84" s="241" t="s">
        <v>440</v>
      </c>
      <c r="AJ84" s="241" t="s">
        <v>440</v>
      </c>
      <c r="AK84" s="241" t="s">
        <v>440</v>
      </c>
      <c r="AL84" s="241">
        <v>39</v>
      </c>
      <c r="AM84" s="240">
        <v>13724659</v>
      </c>
      <c r="AN84" s="240">
        <v>20872919</v>
      </c>
      <c r="AO84" s="241"/>
      <c r="AP84" s="302"/>
      <c r="AQ84" s="302">
        <v>33.369999999999997</v>
      </c>
      <c r="AR84" s="541" t="s">
        <v>148</v>
      </c>
    </row>
    <row r="85" spans="1:44" ht="23.25" customHeight="1" x14ac:dyDescent="0.15">
      <c r="A85">
        <v>80</v>
      </c>
      <c r="B85" s="328" t="s">
        <v>117</v>
      </c>
      <c r="C85" s="327" t="s">
        <v>335</v>
      </c>
      <c r="D85" s="328" t="s">
        <v>338</v>
      </c>
      <c r="E85" s="328" t="s">
        <v>339</v>
      </c>
      <c r="F85" s="240">
        <v>2744689830</v>
      </c>
      <c r="G85" s="241">
        <v>1429742666</v>
      </c>
      <c r="H85" s="240">
        <v>398022448</v>
      </c>
      <c r="I85" s="283">
        <v>1115392138</v>
      </c>
      <c r="J85" s="288">
        <v>394</v>
      </c>
      <c r="K85" s="284">
        <v>5687847083</v>
      </c>
      <c r="L85" s="241"/>
      <c r="M85" s="241"/>
      <c r="N85" s="241"/>
      <c r="O85" s="241"/>
      <c r="P85" s="240"/>
      <c r="Q85" s="241"/>
      <c r="R85" s="240"/>
      <c r="S85" s="241"/>
      <c r="T85" s="305"/>
      <c r="U85" s="288"/>
      <c r="V85" s="284"/>
      <c r="W85" s="240">
        <v>5687847083</v>
      </c>
      <c r="X85" s="240"/>
      <c r="Y85" s="290"/>
      <c r="Z85" s="5" t="s">
        <v>376</v>
      </c>
      <c r="AA85" s="241">
        <v>2120</v>
      </c>
      <c r="AB85" s="5"/>
      <c r="AC85" s="241"/>
      <c r="AD85" s="5"/>
      <c r="AE85" s="241"/>
      <c r="AF85" s="5"/>
      <c r="AG85" s="241"/>
      <c r="AH85" s="240">
        <v>2682946</v>
      </c>
      <c r="AI85" s="241" t="s">
        <v>440</v>
      </c>
      <c r="AJ85" s="241" t="s">
        <v>440</v>
      </c>
      <c r="AK85" s="241" t="s">
        <v>440</v>
      </c>
      <c r="AL85" s="241">
        <v>44</v>
      </c>
      <c r="AM85" s="240">
        <v>15583142</v>
      </c>
      <c r="AN85" s="240">
        <v>14436160</v>
      </c>
      <c r="AO85" s="241"/>
      <c r="AP85" s="302"/>
      <c r="AQ85" s="302">
        <v>48.26</v>
      </c>
      <c r="AR85" s="541" t="s">
        <v>148</v>
      </c>
    </row>
    <row r="86" spans="1:44" ht="23.25" customHeight="1" x14ac:dyDescent="0.15">
      <c r="A86">
        <v>81</v>
      </c>
      <c r="B86" s="328" t="s">
        <v>117</v>
      </c>
      <c r="C86" s="327" t="s">
        <v>337</v>
      </c>
      <c r="D86" s="328" t="s">
        <v>338</v>
      </c>
      <c r="E86" s="328" t="s">
        <v>339</v>
      </c>
      <c r="F86" s="240">
        <v>14629057</v>
      </c>
      <c r="G86" s="241">
        <v>8355979</v>
      </c>
      <c r="H86" s="240">
        <v>198330</v>
      </c>
      <c r="I86" s="283"/>
      <c r="J86" s="288">
        <v>2.1</v>
      </c>
      <c r="K86" s="284">
        <v>23183366</v>
      </c>
      <c r="L86" s="241"/>
      <c r="M86" s="241"/>
      <c r="N86" s="241"/>
      <c r="O86" s="241"/>
      <c r="P86" s="240"/>
      <c r="Q86" s="241"/>
      <c r="R86" s="240"/>
      <c r="S86" s="241"/>
      <c r="T86" s="305"/>
      <c r="U86" s="288"/>
      <c r="V86" s="284"/>
      <c r="W86" s="240">
        <v>23183366</v>
      </c>
      <c r="X86" s="240"/>
      <c r="Y86" s="290"/>
      <c r="Z86" s="499" t="s">
        <v>500</v>
      </c>
      <c r="AA86" s="241">
        <v>3317</v>
      </c>
      <c r="AB86" s="5"/>
      <c r="AC86" s="241"/>
      <c r="AD86" s="5"/>
      <c r="AE86" s="241"/>
      <c r="AF86" s="5"/>
      <c r="AG86" s="241"/>
      <c r="AH86" s="240">
        <v>6989</v>
      </c>
      <c r="AI86" s="241" t="s">
        <v>440</v>
      </c>
      <c r="AJ86" s="241" t="s">
        <v>440</v>
      </c>
      <c r="AK86" s="241" t="s">
        <v>440</v>
      </c>
      <c r="AL86" s="313">
        <v>0.1</v>
      </c>
      <c r="AM86" s="240">
        <v>63516</v>
      </c>
      <c r="AN86" s="240">
        <v>11039698</v>
      </c>
      <c r="AO86" s="241"/>
      <c r="AP86" s="302"/>
      <c r="AQ86" s="302">
        <v>63.1</v>
      </c>
      <c r="AR86" s="541" t="s">
        <v>148</v>
      </c>
    </row>
    <row r="87" spans="1:44" ht="18" customHeight="1" x14ac:dyDescent="0.15">
      <c r="B87" s="538" t="s">
        <v>493</v>
      </c>
    </row>
    <row r="88" spans="1:44" ht="18" customHeight="1" x14ac:dyDescent="0.15">
      <c r="B88" s="539" t="s">
        <v>494</v>
      </c>
      <c r="X88" s="3"/>
      <c r="Y88" s="106"/>
      <c r="AO88" s="3"/>
      <c r="AP88" s="106"/>
      <c r="AQ88" s="106"/>
    </row>
    <row r="89" spans="1:44" ht="23.25" customHeight="1" x14ac:dyDescent="0.15">
      <c r="X89" s="3"/>
      <c r="Y89" s="106"/>
      <c r="AO89" s="3"/>
      <c r="AP89" s="106"/>
      <c r="AQ89" s="106"/>
    </row>
    <row r="90" spans="1:44" ht="23.25" customHeight="1" x14ac:dyDescent="0.15">
      <c r="X90" s="3"/>
      <c r="Y90" s="106"/>
      <c r="AO90" s="3"/>
      <c r="AP90" s="106"/>
      <c r="AQ90" s="106"/>
    </row>
    <row r="91" spans="1:44" ht="23.25" customHeight="1" x14ac:dyDescent="0.15">
      <c r="X91" s="3"/>
      <c r="Y91" s="106"/>
      <c r="AO91" s="3"/>
      <c r="AP91" s="106"/>
      <c r="AQ91" s="106"/>
    </row>
    <row r="95" spans="1:44" ht="23.25" customHeight="1" x14ac:dyDescent="0.15">
      <c r="E95">
        <v>1</v>
      </c>
      <c r="F95">
        <v>2</v>
      </c>
      <c r="G95">
        <v>3</v>
      </c>
      <c r="H95">
        <v>4</v>
      </c>
      <c r="X95" s="3"/>
      <c r="Y95" s="106"/>
      <c r="AO95" s="3"/>
      <c r="AP95" s="106"/>
      <c r="AQ95" s="106"/>
    </row>
    <row r="96" spans="1:44" ht="23.25" customHeight="1" x14ac:dyDescent="0.15">
      <c r="F96" s="1" t="s">
        <v>156</v>
      </c>
      <c r="G96" s="1" t="s">
        <v>145</v>
      </c>
      <c r="H96" s="1" t="s">
        <v>146</v>
      </c>
      <c r="X96" s="3"/>
      <c r="Y96" s="106"/>
      <c r="AO96" s="3"/>
      <c r="AP96" s="106"/>
      <c r="AQ96" s="106"/>
    </row>
    <row r="97" spans="5:43" ht="23.25" customHeight="1" x14ac:dyDescent="0.15">
      <c r="E97" s="3" t="s">
        <v>148</v>
      </c>
      <c r="F97" s="106">
        <f>AQ98</f>
        <v>28.518837209302319</v>
      </c>
      <c r="G97" s="106">
        <f>Y98</f>
        <v>57.454117647058823</v>
      </c>
      <c r="H97" s="106" t="e">
        <f>AP98</f>
        <v>#DIV/0!</v>
      </c>
      <c r="X97" s="3"/>
      <c r="Y97" s="106"/>
      <c r="AO97" s="3"/>
      <c r="AP97" s="106"/>
      <c r="AQ97" s="106"/>
    </row>
    <row r="98" spans="5:43" ht="23.25" customHeight="1" x14ac:dyDescent="0.15">
      <c r="E98" s="3" t="s">
        <v>152</v>
      </c>
      <c r="F98" s="106">
        <f t="shared" ref="F98:F100" si="0">AQ99</f>
        <v>42.378499999999995</v>
      </c>
      <c r="G98" s="106">
        <f t="shared" ref="G98:G100" si="1">Y99</f>
        <v>28.106249999999999</v>
      </c>
      <c r="H98" s="106" t="e">
        <f t="shared" ref="H98:H100" si="2">AP99</f>
        <v>#DIV/0!</v>
      </c>
      <c r="X98" s="3" t="s">
        <v>148</v>
      </c>
      <c r="Y98" s="106">
        <f>AVERAGEIF($AR$6:$AR$86,"=直接行政サービス事業（直接型）",Y$6:Y$86)</f>
        <v>57.454117647058823</v>
      </c>
      <c r="AO98" s="3" t="s">
        <v>148</v>
      </c>
      <c r="AP98" s="106" t="e">
        <f>AVERAGEIF($AR$6:$AR$86,"=直接行政サービス事業（直接型）",AP$6:AP$86)</f>
        <v>#DIV/0!</v>
      </c>
      <c r="AQ98" s="106">
        <f>AVERAGEIF($AR$6:$AR$86,"=直接行政サービス事業（直接型）",AQ$6:AQ$86)</f>
        <v>28.518837209302319</v>
      </c>
    </row>
    <row r="99" spans="5:43" ht="23.25" customHeight="1" x14ac:dyDescent="0.15">
      <c r="E99" s="3" t="s">
        <v>153</v>
      </c>
      <c r="F99" s="106">
        <f t="shared" si="0"/>
        <v>40.80833333333333</v>
      </c>
      <c r="G99" s="106" t="e">
        <f t="shared" si="1"/>
        <v>#DIV/0!</v>
      </c>
      <c r="H99" s="106">
        <f t="shared" si="2"/>
        <v>4.5266666666666664</v>
      </c>
      <c r="X99" s="3" t="s">
        <v>152</v>
      </c>
      <c r="Y99" s="106">
        <f>AVERAGEIF($AR$6:$AR$86,"=直接行政サービス事業（間接型）",Y$6:Y$86)</f>
        <v>28.106249999999999</v>
      </c>
      <c r="AO99" s="3" t="s">
        <v>152</v>
      </c>
      <c r="AP99" s="106" t="e">
        <f>AVERAGEIF($AR$6:$AR$86,"=直接行政サービス事業（間接型）",AP$6:AP$86)</f>
        <v>#DIV/0!</v>
      </c>
      <c r="AQ99" s="106">
        <f>AVERAGEIF($AR$6:$AR$86,"=直接行政サービス事業（間接型）",AQ$6:AQ$86)</f>
        <v>42.378499999999995</v>
      </c>
    </row>
    <row r="100" spans="5:43" ht="23.25" customHeight="1" x14ac:dyDescent="0.15">
      <c r="E100" s="3" t="s">
        <v>154</v>
      </c>
      <c r="F100" s="106">
        <f t="shared" si="0"/>
        <v>28.265000000000004</v>
      </c>
      <c r="G100" s="106">
        <f t="shared" si="1"/>
        <v>57.15</v>
      </c>
      <c r="H100" s="106">
        <f t="shared" si="2"/>
        <v>6.8550000000000004</v>
      </c>
      <c r="X100" s="3" t="s">
        <v>153</v>
      </c>
      <c r="Y100" s="106" t="e">
        <f>AVERAGEIF($AR$6:$AR$86,"=資源配分事業（直接型）",Y$6:Y$86)</f>
        <v>#DIV/0!</v>
      </c>
      <c r="AO100" s="3" t="s">
        <v>153</v>
      </c>
      <c r="AP100" s="106">
        <f>AVERAGEIF($AR$6:$AR$86,"=資源配分事業（直接型）",AP$6:AP$86)</f>
        <v>4.5266666666666664</v>
      </c>
      <c r="AQ100" s="106">
        <f>AVERAGEIF($AR$6:$AR$86,"=資源配分事業（直接型）",AQ$6:AQ$86)</f>
        <v>40.80833333333333</v>
      </c>
    </row>
    <row r="101" spans="5:43" ht="23.25" customHeight="1" x14ac:dyDescent="0.15">
      <c r="X101" s="3" t="s">
        <v>154</v>
      </c>
      <c r="Y101" s="106">
        <f>AVERAGEIF($AR$6:$AR$86,"=資源配分事業（間接型）",Y$6:Y$86)</f>
        <v>57.15</v>
      </c>
      <c r="AO101" s="3" t="s">
        <v>154</v>
      </c>
      <c r="AP101" s="106">
        <f>AVERAGEIF($AR$6:$AR$86,"=資源配分事業（間接型）",AP$6:AP$86)</f>
        <v>6.8550000000000004</v>
      </c>
      <c r="AQ101" s="106">
        <f>AVERAGEIF($AR$6:$AR$86,"=資源配分事業（間接型）",AQ$6:AQ$86)</f>
        <v>28.265000000000004</v>
      </c>
    </row>
  </sheetData>
  <sortState ref="A5:AY71">
    <sortCondition ref="A5:A71"/>
  </sortState>
  <mergeCells count="28">
    <mergeCell ref="AQ3:AQ4"/>
    <mergeCell ref="AN3:AN4"/>
    <mergeCell ref="W3:W4"/>
    <mergeCell ref="X3:X4"/>
    <mergeCell ref="Y3:Y4"/>
    <mergeCell ref="Z3:Z4"/>
    <mergeCell ref="AA3:AA4"/>
    <mergeCell ref="AB3:AB4"/>
    <mergeCell ref="AC3:AC4"/>
    <mergeCell ref="AD3:AD4"/>
    <mergeCell ref="AE3:AE4"/>
    <mergeCell ref="AF3:AF4"/>
    <mergeCell ref="AR3:AR5"/>
    <mergeCell ref="B3:B4"/>
    <mergeCell ref="C3:C4"/>
    <mergeCell ref="D3:D4"/>
    <mergeCell ref="E3:E4"/>
    <mergeCell ref="F3:K3"/>
    <mergeCell ref="L3:V3"/>
    <mergeCell ref="AG3:AG4"/>
    <mergeCell ref="AH3:AH4"/>
    <mergeCell ref="AI3:AI4"/>
    <mergeCell ref="AJ3:AJ4"/>
    <mergeCell ref="AK3:AK4"/>
    <mergeCell ref="AL3:AL4"/>
    <mergeCell ref="AM3:AM4"/>
    <mergeCell ref="AO3:AO4"/>
    <mergeCell ref="AP3:AP4"/>
  </mergeCells>
  <phoneticPr fontId="2"/>
  <pageMargins left="0" right="0" top="0.15748031496062992" bottom="0.15748031496062992" header="0.31496062992125984" footer="0.31496062992125984"/>
  <pageSetup paperSize="8" scale="43"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70" zoomScaleSheetLayoutView="70" workbookViewId="0">
      <pane xSplit="3" ySplit="5" topLeftCell="Z6" activePane="bottomRight" state="frozen"/>
      <selection activeCell="C72" sqref="C72:F73"/>
      <selection pane="topRight" activeCell="C72" sqref="C72:F73"/>
      <selection pane="bottomLeft" activeCell="C72" sqref="C72:F73"/>
      <selection pane="bottomRight" activeCell="A2" sqref="A2:XFD2"/>
    </sheetView>
  </sheetViews>
  <sheetFormatPr defaultRowHeight="13.5" x14ac:dyDescent="0.15"/>
  <cols>
    <col min="1" max="1" width="4.25" customWidth="1"/>
    <col min="2" max="2" width="17.375" customWidth="1"/>
    <col min="3" max="3" width="43.625" style="2" customWidth="1"/>
    <col min="4" max="4" width="19.625" customWidth="1"/>
    <col min="5" max="5" width="7.375" customWidth="1"/>
    <col min="6" max="43" width="15.375" customWidth="1"/>
    <col min="44" max="44" width="32.375" customWidth="1"/>
  </cols>
  <sheetData>
    <row r="1" spans="1:44" x14ac:dyDescent="0.15">
      <c r="B1" t="s">
        <v>40</v>
      </c>
      <c r="E1" s="2"/>
      <c r="G1" s="2"/>
      <c r="I1" s="2"/>
      <c r="K1" s="2"/>
      <c r="M1" s="2"/>
      <c r="O1" s="2"/>
      <c r="Q1" s="2"/>
      <c r="S1" s="2"/>
      <c r="U1" s="2"/>
      <c r="W1" s="2"/>
      <c r="Y1" s="2"/>
      <c r="AA1" s="2"/>
      <c r="AC1" s="2"/>
      <c r="AE1" s="2"/>
      <c r="AG1" s="2"/>
      <c r="AI1" s="2"/>
      <c r="AK1" s="2"/>
      <c r="AM1" s="2"/>
      <c r="AO1" s="2"/>
      <c r="AQ1" s="2"/>
    </row>
    <row r="2" spans="1:44" ht="14.25" x14ac:dyDescent="0.15">
      <c r="C2" s="272"/>
      <c r="D2" s="28"/>
      <c r="E2" s="28"/>
      <c r="F2" s="273" t="s">
        <v>26</v>
      </c>
      <c r="G2" s="273" t="s">
        <v>26</v>
      </c>
      <c r="H2" s="273" t="s">
        <v>26</v>
      </c>
      <c r="I2" s="273" t="s">
        <v>26</v>
      </c>
      <c r="J2" s="273" t="s">
        <v>27</v>
      </c>
      <c r="K2" s="273" t="s">
        <v>26</v>
      </c>
      <c r="L2" s="273"/>
      <c r="M2" s="273"/>
      <c r="N2" s="273"/>
      <c r="O2" s="273"/>
      <c r="P2" s="273" t="s">
        <v>26</v>
      </c>
      <c r="Q2" s="273" t="s">
        <v>26</v>
      </c>
      <c r="R2" s="273" t="s">
        <v>26</v>
      </c>
      <c r="S2" s="273" t="s">
        <v>26</v>
      </c>
      <c r="T2" s="273"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301</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49" t="s">
        <v>3</v>
      </c>
      <c r="H4" s="549" t="s">
        <v>309</v>
      </c>
      <c r="I4" s="275" t="s">
        <v>5</v>
      </c>
      <c r="J4" s="276" t="s">
        <v>1</v>
      </c>
      <c r="K4" s="277" t="s">
        <v>310</v>
      </c>
      <c r="L4" s="549" t="s">
        <v>311</v>
      </c>
      <c r="M4" s="549" t="s">
        <v>312</v>
      </c>
      <c r="N4" s="549" t="s">
        <v>83</v>
      </c>
      <c r="O4" s="549" t="s">
        <v>84</v>
      </c>
      <c r="P4" s="550" t="s">
        <v>313</v>
      </c>
      <c r="Q4" s="550" t="s">
        <v>7</v>
      </c>
      <c r="R4" s="550" t="s">
        <v>314</v>
      </c>
      <c r="S4" s="549" t="s">
        <v>9</v>
      </c>
      <c r="T4" s="540" t="s">
        <v>498</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48"/>
      <c r="C5" s="112">
        <v>1</v>
      </c>
      <c r="D5" s="548">
        <v>2</v>
      </c>
      <c r="E5" s="112">
        <v>3</v>
      </c>
      <c r="F5" s="112">
        <v>4</v>
      </c>
      <c r="G5" s="548">
        <v>5</v>
      </c>
      <c r="H5" s="112">
        <v>6</v>
      </c>
      <c r="I5" s="278">
        <v>7</v>
      </c>
      <c r="J5" s="279">
        <v>8</v>
      </c>
      <c r="K5" s="198" t="s">
        <v>316</v>
      </c>
      <c r="L5" s="112">
        <v>10</v>
      </c>
      <c r="M5" s="548">
        <v>11</v>
      </c>
      <c r="N5" s="112">
        <v>12</v>
      </c>
      <c r="O5" s="112">
        <v>13</v>
      </c>
      <c r="P5" s="548" t="s">
        <v>317</v>
      </c>
      <c r="Q5" s="112">
        <v>15</v>
      </c>
      <c r="R5" s="112" t="s">
        <v>318</v>
      </c>
      <c r="S5" s="548">
        <v>17</v>
      </c>
      <c r="T5" s="278">
        <v>18</v>
      </c>
      <c r="U5" s="280">
        <v>19</v>
      </c>
      <c r="V5" s="281" t="s">
        <v>319</v>
      </c>
      <c r="W5" s="112" t="s">
        <v>320</v>
      </c>
      <c r="X5" s="112">
        <v>22</v>
      </c>
      <c r="Y5" s="548" t="s">
        <v>321</v>
      </c>
      <c r="Z5" s="112">
        <v>24</v>
      </c>
      <c r="AA5" s="112">
        <v>25</v>
      </c>
      <c r="AB5" s="548">
        <v>26</v>
      </c>
      <c r="AC5" s="112">
        <v>27</v>
      </c>
      <c r="AD5" s="112">
        <v>28</v>
      </c>
      <c r="AE5" s="548">
        <v>29</v>
      </c>
      <c r="AF5" s="112">
        <v>30</v>
      </c>
      <c r="AG5" s="112">
        <v>31</v>
      </c>
      <c r="AH5" s="548" t="s">
        <v>322</v>
      </c>
      <c r="AI5" s="112" t="s">
        <v>323</v>
      </c>
      <c r="AJ5" s="112" t="s">
        <v>324</v>
      </c>
      <c r="AK5" s="548" t="s">
        <v>325</v>
      </c>
      <c r="AL5" s="112">
        <v>36</v>
      </c>
      <c r="AM5" s="112">
        <v>37</v>
      </c>
      <c r="AN5" s="548">
        <v>38</v>
      </c>
      <c r="AO5" s="112">
        <v>39</v>
      </c>
      <c r="AP5" s="112" t="s">
        <v>326</v>
      </c>
      <c r="AQ5" s="282" t="s">
        <v>378</v>
      </c>
      <c r="AR5" s="676"/>
    </row>
    <row r="6" spans="1:44" ht="22.5" customHeight="1" x14ac:dyDescent="0.15">
      <c r="A6">
        <v>1</v>
      </c>
      <c r="B6" s="323" t="s">
        <v>37</v>
      </c>
      <c r="C6" s="324" t="s">
        <v>190</v>
      </c>
      <c r="D6" s="325" t="s">
        <v>35</v>
      </c>
      <c r="E6" s="326" t="s">
        <v>36</v>
      </c>
      <c r="F6" s="240">
        <v>106353049</v>
      </c>
      <c r="G6" s="240">
        <v>75093963</v>
      </c>
      <c r="H6" s="240">
        <v>6364284</v>
      </c>
      <c r="I6" s="283">
        <v>1352393191</v>
      </c>
      <c r="J6" s="285">
        <v>15.1</v>
      </c>
      <c r="K6" s="284">
        <v>1540204487</v>
      </c>
      <c r="L6" s="240"/>
      <c r="M6" s="240"/>
      <c r="N6" s="240"/>
      <c r="O6" s="240"/>
      <c r="P6" s="240"/>
      <c r="Q6" s="240"/>
      <c r="R6" s="240"/>
      <c r="S6" s="240"/>
      <c r="T6" s="283"/>
      <c r="U6" s="289"/>
      <c r="V6" s="284"/>
      <c r="W6" s="240">
        <v>1540204487</v>
      </c>
      <c r="X6" s="240"/>
      <c r="Y6" s="290" t="s">
        <v>440</v>
      </c>
      <c r="Z6" s="5" t="s">
        <v>228</v>
      </c>
      <c r="AA6" s="240">
        <v>835</v>
      </c>
      <c r="AB6" s="4"/>
      <c r="AC6" s="240"/>
      <c r="AD6" s="4"/>
      <c r="AE6" s="240"/>
      <c r="AF6" s="4"/>
      <c r="AG6" s="240"/>
      <c r="AH6" s="240">
        <v>1844556</v>
      </c>
      <c r="AI6" s="240"/>
      <c r="AJ6" s="240"/>
      <c r="AK6" s="240"/>
      <c r="AL6" s="240">
        <v>12</v>
      </c>
      <c r="AM6" s="240">
        <v>4208208</v>
      </c>
      <c r="AN6" s="240">
        <v>101831701</v>
      </c>
      <c r="AO6" s="240"/>
      <c r="AP6" s="292" t="s">
        <v>440</v>
      </c>
      <c r="AQ6" s="302">
        <v>6.91</v>
      </c>
      <c r="AR6" s="332" t="s">
        <v>148</v>
      </c>
    </row>
    <row r="7" spans="1:44" ht="22.5" customHeight="1" x14ac:dyDescent="0.15">
      <c r="A7">
        <v>2</v>
      </c>
      <c r="B7" s="323" t="s">
        <v>37</v>
      </c>
      <c r="C7" s="324" t="s">
        <v>191</v>
      </c>
      <c r="D7" s="325" t="s">
        <v>35</v>
      </c>
      <c r="E7" s="326" t="s">
        <v>36</v>
      </c>
      <c r="F7" s="240"/>
      <c r="G7" s="240"/>
      <c r="H7" s="240"/>
      <c r="I7" s="283"/>
      <c r="J7" s="285"/>
      <c r="K7" s="284"/>
      <c r="L7" s="240"/>
      <c r="M7" s="240"/>
      <c r="N7" s="240"/>
      <c r="O7" s="240"/>
      <c r="P7" s="240"/>
      <c r="Q7" s="240"/>
      <c r="R7" s="240"/>
      <c r="S7" s="240"/>
      <c r="T7" s="283"/>
      <c r="U7" s="288"/>
      <c r="V7" s="284"/>
      <c r="W7" s="240"/>
      <c r="X7" s="240"/>
      <c r="Y7" s="290" t="s">
        <v>440</v>
      </c>
      <c r="Z7" s="5" t="s">
        <v>229</v>
      </c>
      <c r="AA7" s="240"/>
      <c r="AB7" s="4"/>
      <c r="AC7" s="240"/>
      <c r="AD7" s="4"/>
      <c r="AE7" s="240"/>
      <c r="AF7" s="4"/>
      <c r="AG7" s="240"/>
      <c r="AH7" s="240"/>
      <c r="AI7" s="240"/>
      <c r="AJ7" s="240"/>
      <c r="AK7" s="240"/>
      <c r="AL7" s="240"/>
      <c r="AM7" s="240"/>
      <c r="AN7" s="240"/>
      <c r="AO7" s="240"/>
      <c r="AP7" s="292" t="s">
        <v>440</v>
      </c>
      <c r="AQ7" s="302" t="s">
        <v>440</v>
      </c>
      <c r="AR7" s="332" t="s">
        <v>148</v>
      </c>
    </row>
    <row r="8" spans="1:44" ht="22.5" customHeight="1" x14ac:dyDescent="0.15">
      <c r="A8">
        <v>3</v>
      </c>
      <c r="B8" s="323" t="s">
        <v>37</v>
      </c>
      <c r="C8" s="324" t="s">
        <v>189</v>
      </c>
      <c r="D8" s="325" t="s">
        <v>35</v>
      </c>
      <c r="E8" s="326" t="s">
        <v>36</v>
      </c>
      <c r="F8" s="240"/>
      <c r="G8" s="240"/>
      <c r="H8" s="240"/>
      <c r="I8" s="283"/>
      <c r="J8" s="285"/>
      <c r="K8" s="284"/>
      <c r="L8" s="240"/>
      <c r="M8" s="240"/>
      <c r="N8" s="240"/>
      <c r="O8" s="240"/>
      <c r="P8" s="240"/>
      <c r="Q8" s="240"/>
      <c r="R8" s="240"/>
      <c r="S8" s="240"/>
      <c r="T8" s="283"/>
      <c r="U8" s="288"/>
      <c r="V8" s="284"/>
      <c r="W8" s="240"/>
      <c r="X8" s="240"/>
      <c r="Y8" s="290" t="s">
        <v>440</v>
      </c>
      <c r="Z8" s="495" t="s">
        <v>229</v>
      </c>
      <c r="AA8" s="240"/>
      <c r="AB8" s="4"/>
      <c r="AC8" s="240"/>
      <c r="AD8" s="4"/>
      <c r="AE8" s="240"/>
      <c r="AF8" s="4"/>
      <c r="AG8" s="240"/>
      <c r="AH8" s="240"/>
      <c r="AI8" s="240"/>
      <c r="AJ8" s="240"/>
      <c r="AK8" s="240"/>
      <c r="AL8" s="240"/>
      <c r="AM8" s="240"/>
      <c r="AN8" s="240"/>
      <c r="AO8" s="240"/>
      <c r="AP8" s="292" t="s">
        <v>440</v>
      </c>
      <c r="AQ8" s="302" t="s">
        <v>440</v>
      </c>
      <c r="AR8" s="332" t="s">
        <v>148</v>
      </c>
    </row>
    <row r="9" spans="1:44" ht="22.5" customHeight="1" x14ac:dyDescent="0.15">
      <c r="A9">
        <v>4</v>
      </c>
      <c r="B9" s="323" t="s">
        <v>37</v>
      </c>
      <c r="C9" s="324" t="s">
        <v>223</v>
      </c>
      <c r="D9" s="325" t="s">
        <v>35</v>
      </c>
      <c r="E9" s="326" t="s">
        <v>36</v>
      </c>
      <c r="F9" s="240">
        <v>59065494</v>
      </c>
      <c r="G9" s="240">
        <v>59222271</v>
      </c>
      <c r="H9" s="240"/>
      <c r="I9" s="283">
        <v>18169113302</v>
      </c>
      <c r="J9" s="285">
        <v>8.4</v>
      </c>
      <c r="K9" s="284">
        <v>18287401068</v>
      </c>
      <c r="L9" s="240"/>
      <c r="M9" s="240"/>
      <c r="N9" s="240"/>
      <c r="O9" s="240"/>
      <c r="P9" s="240"/>
      <c r="Q9" s="240"/>
      <c r="R9" s="240"/>
      <c r="S9" s="240"/>
      <c r="T9" s="283"/>
      <c r="U9" s="288"/>
      <c r="V9" s="284"/>
      <c r="W9" s="240">
        <v>18287401068</v>
      </c>
      <c r="X9" s="240"/>
      <c r="Y9" s="290" t="s">
        <v>440</v>
      </c>
      <c r="Z9" s="5" t="s">
        <v>230</v>
      </c>
      <c r="AA9" s="240">
        <v>3</v>
      </c>
      <c r="AB9" s="4"/>
      <c r="AC9" s="240"/>
      <c r="AD9" s="4"/>
      <c r="AE9" s="240"/>
      <c r="AF9" s="4"/>
      <c r="AG9" s="240"/>
      <c r="AH9" s="240">
        <v>6095800356</v>
      </c>
      <c r="AI9" s="240"/>
      <c r="AJ9" s="240"/>
      <c r="AK9" s="240"/>
      <c r="AL9" s="240">
        <v>143</v>
      </c>
      <c r="AM9" s="240">
        <v>49965576</v>
      </c>
      <c r="AN9" s="240">
        <v>2177071555</v>
      </c>
      <c r="AO9" s="240"/>
      <c r="AP9" s="292" t="s">
        <v>440</v>
      </c>
      <c r="AQ9" s="302">
        <v>0.32</v>
      </c>
      <c r="AR9" s="332" t="s">
        <v>148</v>
      </c>
    </row>
    <row r="10" spans="1:44" ht="22.5" customHeight="1" x14ac:dyDescent="0.15">
      <c r="A10">
        <v>5</v>
      </c>
      <c r="B10" s="328" t="s">
        <v>37</v>
      </c>
      <c r="C10" s="327" t="s">
        <v>377</v>
      </c>
      <c r="D10" s="328" t="s">
        <v>338</v>
      </c>
      <c r="E10" s="328" t="s">
        <v>339</v>
      </c>
      <c r="F10" s="240">
        <v>79457153</v>
      </c>
      <c r="G10" s="240">
        <v>104537502</v>
      </c>
      <c r="H10" s="240"/>
      <c r="I10" s="283">
        <v>159510483</v>
      </c>
      <c r="J10" s="285">
        <v>11.3</v>
      </c>
      <c r="K10" s="284">
        <v>343505138</v>
      </c>
      <c r="L10" s="240"/>
      <c r="M10" s="240"/>
      <c r="N10" s="240"/>
      <c r="O10" s="240"/>
      <c r="P10" s="240"/>
      <c r="Q10" s="240"/>
      <c r="R10" s="240"/>
      <c r="S10" s="240"/>
      <c r="T10" s="283"/>
      <c r="U10" s="288"/>
      <c r="V10" s="284"/>
      <c r="W10" s="240">
        <v>343505138</v>
      </c>
      <c r="X10" s="240">
        <v>292461000</v>
      </c>
      <c r="Y10" s="290">
        <v>85.14</v>
      </c>
      <c r="Z10" s="5" t="s">
        <v>359</v>
      </c>
      <c r="AA10" s="240">
        <v>14998</v>
      </c>
      <c r="AB10" s="4"/>
      <c r="AC10" s="240"/>
      <c r="AD10" s="4"/>
      <c r="AE10" s="240"/>
      <c r="AF10" s="4"/>
      <c r="AG10" s="240"/>
      <c r="AH10" s="240">
        <v>22903</v>
      </c>
      <c r="AI10" s="240"/>
      <c r="AJ10" s="240"/>
      <c r="AK10" s="240"/>
      <c r="AL10" s="240">
        <v>2</v>
      </c>
      <c r="AM10" s="240">
        <v>938538</v>
      </c>
      <c r="AN10" s="240">
        <v>30398684</v>
      </c>
      <c r="AO10" s="240"/>
      <c r="AP10" s="292"/>
      <c r="AQ10" s="302">
        <v>23.13</v>
      </c>
      <c r="AR10" s="332" t="s">
        <v>148</v>
      </c>
    </row>
    <row r="11" spans="1:44" ht="22.5" customHeight="1" x14ac:dyDescent="0.15">
      <c r="A11">
        <v>6</v>
      </c>
      <c r="B11" s="328" t="s">
        <v>37</v>
      </c>
      <c r="C11" s="327" t="s">
        <v>461</v>
      </c>
      <c r="D11" s="328" t="s">
        <v>338</v>
      </c>
      <c r="E11" s="328" t="s">
        <v>36</v>
      </c>
      <c r="F11" s="240"/>
      <c r="G11" s="240"/>
      <c r="H11" s="240"/>
      <c r="I11" s="283"/>
      <c r="J11" s="285"/>
      <c r="K11" s="284"/>
      <c r="L11" s="240"/>
      <c r="M11" s="240"/>
      <c r="N11" s="240"/>
      <c r="O11" s="240"/>
      <c r="P11" s="240"/>
      <c r="Q11" s="240"/>
      <c r="R11" s="240"/>
      <c r="S11" s="240"/>
      <c r="T11" s="283"/>
      <c r="U11" s="288"/>
      <c r="V11" s="284"/>
      <c r="W11" s="240" t="s">
        <v>440</v>
      </c>
      <c r="X11" s="240"/>
      <c r="Y11" s="290" t="s">
        <v>440</v>
      </c>
      <c r="Z11" s="294" t="s">
        <v>384</v>
      </c>
      <c r="AA11" s="240"/>
      <c r="AB11" s="4"/>
      <c r="AC11" s="240"/>
      <c r="AD11" s="4"/>
      <c r="AE11" s="240"/>
      <c r="AF11" s="4"/>
      <c r="AG11" s="240"/>
      <c r="AH11" s="240" t="s">
        <v>440</v>
      </c>
      <c r="AI11" s="240"/>
      <c r="AJ11" s="240"/>
      <c r="AK11" s="240"/>
      <c r="AL11" s="310" t="s">
        <v>440</v>
      </c>
      <c r="AM11" s="240" t="s">
        <v>440</v>
      </c>
      <c r="AN11" s="240" t="s">
        <v>440</v>
      </c>
      <c r="AO11" s="240"/>
      <c r="AP11" s="292"/>
      <c r="AQ11" s="302" t="s">
        <v>440</v>
      </c>
      <c r="AR11" s="350" t="s">
        <v>148</v>
      </c>
    </row>
    <row r="12" spans="1:44" ht="22.5" customHeight="1" x14ac:dyDescent="0.15">
      <c r="A12">
        <v>7</v>
      </c>
      <c r="B12" s="323" t="s">
        <v>37</v>
      </c>
      <c r="C12" s="324" t="s">
        <v>187</v>
      </c>
      <c r="D12" s="325" t="s">
        <v>35</v>
      </c>
      <c r="E12" s="326" t="s">
        <v>38</v>
      </c>
      <c r="F12" s="240">
        <v>33048550</v>
      </c>
      <c r="G12" s="240">
        <v>23453280</v>
      </c>
      <c r="H12" s="240">
        <v>1489667</v>
      </c>
      <c r="I12" s="283"/>
      <c r="J12" s="285">
        <v>4.7</v>
      </c>
      <c r="K12" s="284">
        <v>57991498</v>
      </c>
      <c r="L12" s="240">
        <v>602199308</v>
      </c>
      <c r="M12" s="240">
        <v>1140266017</v>
      </c>
      <c r="N12" s="240">
        <v>187718947</v>
      </c>
      <c r="O12" s="240">
        <v>83110448</v>
      </c>
      <c r="P12" s="240">
        <v>789918255</v>
      </c>
      <c r="Q12" s="240">
        <v>10755803</v>
      </c>
      <c r="R12" s="240">
        <v>1223376465</v>
      </c>
      <c r="S12" s="240">
        <v>141219924</v>
      </c>
      <c r="T12" s="283"/>
      <c r="U12" s="288">
        <v>165</v>
      </c>
      <c r="V12" s="284">
        <v>2165270447</v>
      </c>
      <c r="W12" s="240">
        <v>2223261945</v>
      </c>
      <c r="X12" s="240">
        <v>61483382</v>
      </c>
      <c r="Y12" s="290">
        <v>2.77</v>
      </c>
      <c r="Z12" s="293" t="s">
        <v>231</v>
      </c>
      <c r="AA12" s="240">
        <v>346500</v>
      </c>
      <c r="AB12" s="4"/>
      <c r="AC12" s="240"/>
      <c r="AD12" s="4"/>
      <c r="AE12" s="240"/>
      <c r="AF12" s="4"/>
      <c r="AG12" s="240"/>
      <c r="AH12" s="240">
        <v>6416</v>
      </c>
      <c r="AI12" s="240"/>
      <c r="AJ12" s="240"/>
      <c r="AK12" s="240"/>
      <c r="AL12" s="240">
        <v>17</v>
      </c>
      <c r="AM12" s="240">
        <v>6074486</v>
      </c>
      <c r="AN12" s="240">
        <v>13101131</v>
      </c>
      <c r="AO12" s="240"/>
      <c r="AP12" s="292" t="s">
        <v>440</v>
      </c>
      <c r="AQ12" s="302">
        <v>37.5</v>
      </c>
      <c r="AR12" s="332" t="s">
        <v>149</v>
      </c>
    </row>
    <row r="13" spans="1:44" ht="22.5" customHeight="1" x14ac:dyDescent="0.15">
      <c r="A13">
        <v>8</v>
      </c>
      <c r="B13" s="323" t="s">
        <v>37</v>
      </c>
      <c r="C13" s="324" t="s">
        <v>188</v>
      </c>
      <c r="D13" s="325" t="s">
        <v>35</v>
      </c>
      <c r="E13" s="326" t="s">
        <v>38</v>
      </c>
      <c r="F13" s="240">
        <v>3515803</v>
      </c>
      <c r="G13" s="240">
        <v>2753052</v>
      </c>
      <c r="H13" s="240"/>
      <c r="I13" s="283"/>
      <c r="J13" s="285">
        <v>0.5</v>
      </c>
      <c r="K13" s="284">
        <v>6268855</v>
      </c>
      <c r="L13" s="240">
        <v>297312932</v>
      </c>
      <c r="M13" s="240">
        <v>98768220</v>
      </c>
      <c r="N13" s="240">
        <v>41295941</v>
      </c>
      <c r="O13" s="240">
        <v>31692346</v>
      </c>
      <c r="P13" s="240">
        <v>338608873</v>
      </c>
      <c r="Q13" s="240">
        <v>598369</v>
      </c>
      <c r="R13" s="240">
        <v>130460566</v>
      </c>
      <c r="S13" s="240">
        <v>15784203</v>
      </c>
      <c r="T13" s="283"/>
      <c r="U13" s="288">
        <v>19</v>
      </c>
      <c r="V13" s="284">
        <v>485452013</v>
      </c>
      <c r="W13" s="240">
        <v>491720869</v>
      </c>
      <c r="X13" s="240"/>
      <c r="Y13" s="290" t="s">
        <v>440</v>
      </c>
      <c r="Z13" s="5" t="s">
        <v>232</v>
      </c>
      <c r="AA13" s="240">
        <v>23552</v>
      </c>
      <c r="AB13" s="4"/>
      <c r="AC13" s="240"/>
      <c r="AD13" s="4"/>
      <c r="AE13" s="240"/>
      <c r="AF13" s="4"/>
      <c r="AG13" s="240"/>
      <c r="AH13" s="240">
        <v>20878</v>
      </c>
      <c r="AI13" s="240"/>
      <c r="AJ13" s="240"/>
      <c r="AK13" s="240"/>
      <c r="AL13" s="240">
        <v>3</v>
      </c>
      <c r="AM13" s="240">
        <v>1343499</v>
      </c>
      <c r="AN13" s="240">
        <v>25216454</v>
      </c>
      <c r="AO13" s="240"/>
      <c r="AP13" s="292" t="s">
        <v>440</v>
      </c>
      <c r="AQ13" s="302">
        <v>69.7</v>
      </c>
      <c r="AR13" s="332" t="s">
        <v>149</v>
      </c>
    </row>
    <row r="14" spans="1:44" ht="22.5" customHeight="1" x14ac:dyDescent="0.15">
      <c r="A14">
        <v>9</v>
      </c>
      <c r="B14" s="323" t="s">
        <v>37</v>
      </c>
      <c r="C14" s="324" t="s">
        <v>96</v>
      </c>
      <c r="D14" s="325" t="s">
        <v>87</v>
      </c>
      <c r="E14" s="326" t="s">
        <v>36</v>
      </c>
      <c r="F14" s="240">
        <v>42189639</v>
      </c>
      <c r="G14" s="240">
        <v>4933363</v>
      </c>
      <c r="H14" s="240">
        <v>10874934</v>
      </c>
      <c r="I14" s="283">
        <v>63700473</v>
      </c>
      <c r="J14" s="285">
        <v>6</v>
      </c>
      <c r="K14" s="284">
        <v>121698410</v>
      </c>
      <c r="L14" s="240"/>
      <c r="M14" s="240"/>
      <c r="N14" s="240"/>
      <c r="O14" s="240"/>
      <c r="P14" s="240"/>
      <c r="Q14" s="240"/>
      <c r="R14" s="240"/>
      <c r="S14" s="240"/>
      <c r="T14" s="283"/>
      <c r="U14" s="288"/>
      <c r="V14" s="284"/>
      <c r="W14" s="240">
        <v>121698410</v>
      </c>
      <c r="X14" s="240"/>
      <c r="Y14" s="290" t="s">
        <v>440</v>
      </c>
      <c r="Z14" s="502" t="s">
        <v>233</v>
      </c>
      <c r="AA14" s="240">
        <v>511</v>
      </c>
      <c r="AB14" s="4"/>
      <c r="AC14" s="240"/>
      <c r="AD14" s="4"/>
      <c r="AE14" s="240"/>
      <c r="AF14" s="4"/>
      <c r="AG14" s="240"/>
      <c r="AH14" s="240">
        <v>238157</v>
      </c>
      <c r="AI14" s="240"/>
      <c r="AJ14" s="240"/>
      <c r="AK14" s="240"/>
      <c r="AL14" s="310">
        <v>0.9</v>
      </c>
      <c r="AM14" s="240">
        <v>332509</v>
      </c>
      <c r="AN14" s="240">
        <v>20283068</v>
      </c>
      <c r="AO14" s="240">
        <v>960307493</v>
      </c>
      <c r="AP14" s="292">
        <v>12.67</v>
      </c>
      <c r="AQ14" s="302">
        <v>34.67</v>
      </c>
      <c r="AR14" s="332" t="s">
        <v>150</v>
      </c>
    </row>
    <row r="15" spans="1:44" ht="22.5" customHeight="1" x14ac:dyDescent="0.15">
      <c r="A15">
        <v>10</v>
      </c>
      <c r="B15" s="323" t="s">
        <v>86</v>
      </c>
      <c r="C15" s="324" t="s">
        <v>381</v>
      </c>
      <c r="D15" s="325" t="s">
        <v>35</v>
      </c>
      <c r="E15" s="326" t="s">
        <v>36</v>
      </c>
      <c r="F15" s="240">
        <v>28126426</v>
      </c>
      <c r="G15" s="240">
        <v>65840950</v>
      </c>
      <c r="H15" s="240"/>
      <c r="I15" s="283">
        <v>1355522243</v>
      </c>
      <c r="J15" s="285">
        <v>4</v>
      </c>
      <c r="K15" s="284">
        <v>1449489619</v>
      </c>
      <c r="L15" s="240"/>
      <c r="M15" s="240"/>
      <c r="N15" s="240"/>
      <c r="O15" s="240"/>
      <c r="P15" s="240"/>
      <c r="Q15" s="240"/>
      <c r="R15" s="240"/>
      <c r="S15" s="240"/>
      <c r="T15" s="283"/>
      <c r="U15" s="295"/>
      <c r="V15" s="284"/>
      <c r="W15" s="240">
        <v>1449489619</v>
      </c>
      <c r="X15" s="240"/>
      <c r="Y15" s="290"/>
      <c r="Z15" s="495" t="s">
        <v>382</v>
      </c>
      <c r="AA15" s="240">
        <v>366</v>
      </c>
      <c r="AB15" s="4"/>
      <c r="AC15" s="240"/>
      <c r="AD15" s="4"/>
      <c r="AE15" s="240"/>
      <c r="AF15" s="4"/>
      <c r="AG15" s="240"/>
      <c r="AH15" s="240">
        <v>3960354</v>
      </c>
      <c r="AI15" s="240"/>
      <c r="AJ15" s="240"/>
      <c r="AK15" s="240"/>
      <c r="AL15" s="240">
        <v>11</v>
      </c>
      <c r="AM15" s="240">
        <v>3960354</v>
      </c>
      <c r="AN15" s="240">
        <v>362372404</v>
      </c>
      <c r="AO15" s="240"/>
      <c r="AP15" s="292"/>
      <c r="AQ15" s="302">
        <v>1.94</v>
      </c>
      <c r="AR15" s="332" t="s">
        <v>148</v>
      </c>
    </row>
    <row r="16" spans="1:44" ht="22.5" customHeight="1" x14ac:dyDescent="0.15">
      <c r="A16">
        <v>11</v>
      </c>
      <c r="B16" s="323" t="s">
        <v>88</v>
      </c>
      <c r="C16" s="324" t="s">
        <v>89</v>
      </c>
      <c r="D16" s="325" t="s">
        <v>35</v>
      </c>
      <c r="E16" s="326" t="s">
        <v>36</v>
      </c>
      <c r="F16" s="240">
        <v>18282177</v>
      </c>
      <c r="G16" s="240">
        <v>12193826</v>
      </c>
      <c r="H16" s="240">
        <v>1980628</v>
      </c>
      <c r="I16" s="283">
        <v>130961259</v>
      </c>
      <c r="J16" s="285">
        <v>2.6</v>
      </c>
      <c r="K16" s="284">
        <v>163417891</v>
      </c>
      <c r="L16" s="240"/>
      <c r="M16" s="240"/>
      <c r="N16" s="240"/>
      <c r="O16" s="240"/>
      <c r="P16" s="240"/>
      <c r="Q16" s="240"/>
      <c r="R16" s="240"/>
      <c r="S16" s="240"/>
      <c r="T16" s="283"/>
      <c r="U16" s="295"/>
      <c r="V16" s="284"/>
      <c r="W16" s="240">
        <v>163417891</v>
      </c>
      <c r="X16" s="240"/>
      <c r="Y16" s="290"/>
      <c r="Z16" s="293" t="s">
        <v>333</v>
      </c>
      <c r="AA16" s="240">
        <v>7600</v>
      </c>
      <c r="AB16" s="4" t="s">
        <v>334</v>
      </c>
      <c r="AC16" s="240">
        <v>16700</v>
      </c>
      <c r="AD16" s="4"/>
      <c r="AE16" s="240"/>
      <c r="AF16" s="4"/>
      <c r="AG16" s="240"/>
      <c r="AH16" s="240">
        <v>21502</v>
      </c>
      <c r="AI16" s="240">
        <v>9785</v>
      </c>
      <c r="AJ16" s="240" t="s">
        <v>440</v>
      </c>
      <c r="AK16" s="240" t="s">
        <v>440</v>
      </c>
      <c r="AL16" s="240">
        <v>1</v>
      </c>
      <c r="AM16" s="240">
        <v>446496</v>
      </c>
      <c r="AN16" s="240">
        <v>62853035</v>
      </c>
      <c r="AO16" s="240"/>
      <c r="AP16" s="292"/>
      <c r="AQ16" s="302">
        <v>11.19</v>
      </c>
      <c r="AR16" s="332" t="s">
        <v>148</v>
      </c>
    </row>
    <row r="17" spans="1:44" ht="22.5" customHeight="1" x14ac:dyDescent="0.15">
      <c r="A17">
        <v>12</v>
      </c>
      <c r="B17" s="323" t="s">
        <v>39</v>
      </c>
      <c r="C17" s="324" t="s">
        <v>503</v>
      </c>
      <c r="D17" s="325" t="s">
        <v>35</v>
      </c>
      <c r="E17" s="326" t="s">
        <v>36</v>
      </c>
      <c r="F17" s="240">
        <v>72425546</v>
      </c>
      <c r="G17" s="240">
        <v>30183116</v>
      </c>
      <c r="H17" s="240">
        <v>4626261</v>
      </c>
      <c r="I17" s="283">
        <v>1745912000</v>
      </c>
      <c r="J17" s="285">
        <v>10.3</v>
      </c>
      <c r="K17" s="284">
        <v>1853146925</v>
      </c>
      <c r="L17" s="240"/>
      <c r="M17" s="240"/>
      <c r="N17" s="240"/>
      <c r="O17" s="240"/>
      <c r="P17" s="240"/>
      <c r="Q17" s="240"/>
      <c r="R17" s="240"/>
      <c r="S17" s="240"/>
      <c r="T17" s="283"/>
      <c r="U17" s="288"/>
      <c r="V17" s="284"/>
      <c r="W17" s="240">
        <v>1853146925.6869111</v>
      </c>
      <c r="X17" s="240">
        <v>1745912000</v>
      </c>
      <c r="Y17" s="290">
        <v>94.21</v>
      </c>
      <c r="Z17" s="499" t="s">
        <v>501</v>
      </c>
      <c r="AA17" s="240">
        <v>47</v>
      </c>
      <c r="AB17" s="500" t="s">
        <v>502</v>
      </c>
      <c r="AC17" s="240">
        <v>38</v>
      </c>
      <c r="AD17" s="4"/>
      <c r="AE17" s="240"/>
      <c r="AF17" s="4"/>
      <c r="AG17" s="240"/>
      <c r="AH17" s="240">
        <v>32122142</v>
      </c>
      <c r="AI17" s="240">
        <v>9037005</v>
      </c>
      <c r="AJ17" s="240" t="s">
        <v>440</v>
      </c>
      <c r="AK17" s="240" t="s">
        <v>440</v>
      </c>
      <c r="AL17" s="240">
        <v>14</v>
      </c>
      <c r="AM17" s="240">
        <v>5063242</v>
      </c>
      <c r="AN17" s="240">
        <v>319508090</v>
      </c>
      <c r="AO17" s="240"/>
      <c r="AP17" s="292"/>
      <c r="AQ17" s="302">
        <v>3.91</v>
      </c>
      <c r="AR17" s="332" t="s">
        <v>148</v>
      </c>
    </row>
    <row r="18" spans="1:44" s="6" customFormat="1" ht="22.5" customHeight="1" x14ac:dyDescent="0.15">
      <c r="A18">
        <v>13</v>
      </c>
      <c r="B18" s="323" t="s">
        <v>88</v>
      </c>
      <c r="C18" s="324" t="s">
        <v>504</v>
      </c>
      <c r="D18" s="325" t="s">
        <v>35</v>
      </c>
      <c r="E18" s="326" t="s">
        <v>36</v>
      </c>
      <c r="F18" s="240">
        <v>40783317</v>
      </c>
      <c r="G18" s="240">
        <v>16996318</v>
      </c>
      <c r="H18" s="240">
        <v>2605079</v>
      </c>
      <c r="I18" s="283">
        <v>1449356000</v>
      </c>
      <c r="J18" s="285">
        <v>5.8</v>
      </c>
      <c r="K18" s="284">
        <v>1509740715</v>
      </c>
      <c r="L18" s="240"/>
      <c r="M18" s="240"/>
      <c r="N18" s="240"/>
      <c r="O18" s="240"/>
      <c r="P18" s="240"/>
      <c r="Q18" s="240"/>
      <c r="R18" s="240"/>
      <c r="S18" s="240"/>
      <c r="T18" s="283"/>
      <c r="U18" s="288"/>
      <c r="V18" s="284"/>
      <c r="W18" s="240">
        <v>1509740715</v>
      </c>
      <c r="X18" s="240">
        <v>1449356000</v>
      </c>
      <c r="Y18" s="290">
        <v>96</v>
      </c>
      <c r="Z18" s="499" t="s">
        <v>501</v>
      </c>
      <c r="AA18" s="240">
        <v>47</v>
      </c>
      <c r="AB18" s="4"/>
      <c r="AC18" s="240"/>
      <c r="AD18" s="4"/>
      <c r="AE18" s="240"/>
      <c r="AF18" s="4"/>
      <c r="AG18" s="240"/>
      <c r="AH18" s="240">
        <v>32122142</v>
      </c>
      <c r="AI18" s="240"/>
      <c r="AJ18" s="240" t="s">
        <v>440</v>
      </c>
      <c r="AK18" s="240" t="s">
        <v>440</v>
      </c>
      <c r="AL18" s="240"/>
      <c r="AM18" s="240"/>
      <c r="AN18" s="240"/>
      <c r="AO18" s="240"/>
      <c r="AP18" s="292"/>
      <c r="AQ18" s="302"/>
      <c r="AR18" s="332"/>
    </row>
    <row r="19" spans="1:44" ht="22.5" customHeight="1" x14ac:dyDescent="0.15">
      <c r="A19">
        <v>14</v>
      </c>
      <c r="B19" s="323" t="s">
        <v>88</v>
      </c>
      <c r="C19" s="324" t="s">
        <v>505</v>
      </c>
      <c r="D19" s="325" t="s">
        <v>35</v>
      </c>
      <c r="E19" s="326" t="s">
        <v>36</v>
      </c>
      <c r="F19" s="240">
        <v>31642229</v>
      </c>
      <c r="G19" s="240">
        <v>13186798</v>
      </c>
      <c r="H19" s="240">
        <v>2021182</v>
      </c>
      <c r="I19" s="283">
        <v>296556000</v>
      </c>
      <c r="J19" s="285">
        <v>4.5</v>
      </c>
      <c r="K19" s="284">
        <v>343406210</v>
      </c>
      <c r="L19" s="240"/>
      <c r="M19" s="240"/>
      <c r="N19" s="240"/>
      <c r="O19" s="240"/>
      <c r="P19" s="240"/>
      <c r="Q19" s="240"/>
      <c r="R19" s="240"/>
      <c r="S19" s="240"/>
      <c r="T19" s="283"/>
      <c r="U19" s="288"/>
      <c r="V19" s="284"/>
      <c r="W19" s="240">
        <v>343406210</v>
      </c>
      <c r="X19" s="240">
        <v>296556000</v>
      </c>
      <c r="Y19" s="290">
        <v>86.36</v>
      </c>
      <c r="Z19" s="500" t="s">
        <v>502</v>
      </c>
      <c r="AA19" s="240">
        <v>38</v>
      </c>
      <c r="AB19" s="4"/>
      <c r="AC19" s="240"/>
      <c r="AD19" s="4"/>
      <c r="AE19" s="240"/>
      <c r="AF19" s="4"/>
      <c r="AG19" s="240"/>
      <c r="AH19" s="240">
        <v>9037005</v>
      </c>
      <c r="AI19" s="240"/>
      <c r="AJ19" s="240" t="s">
        <v>440</v>
      </c>
      <c r="AK19" s="240" t="s">
        <v>440</v>
      </c>
      <c r="AL19" s="240"/>
      <c r="AM19" s="240"/>
      <c r="AN19" s="240"/>
      <c r="AO19" s="240"/>
      <c r="AP19" s="292"/>
      <c r="AQ19" s="302"/>
      <c r="AR19" s="332"/>
    </row>
    <row r="20" spans="1:44" s="6" customFormat="1" ht="22.5" customHeight="1" x14ac:dyDescent="0.15">
      <c r="A20" s="6">
        <v>15</v>
      </c>
      <c r="B20" s="323" t="s">
        <v>534</v>
      </c>
      <c r="C20" s="324" t="s">
        <v>530</v>
      </c>
      <c r="D20" s="591" t="s">
        <v>35</v>
      </c>
      <c r="E20" s="330" t="s">
        <v>36</v>
      </c>
      <c r="F20" s="240"/>
      <c r="G20" s="240"/>
      <c r="H20" s="240"/>
      <c r="I20" s="283"/>
      <c r="J20" s="285"/>
      <c r="K20" s="284"/>
      <c r="L20" s="240"/>
      <c r="M20" s="240"/>
      <c r="N20" s="240"/>
      <c r="O20" s="240"/>
      <c r="P20" s="240"/>
      <c r="Q20" s="240"/>
      <c r="R20" s="240"/>
      <c r="S20" s="240"/>
      <c r="T20" s="283"/>
      <c r="U20" s="288"/>
      <c r="V20" s="284"/>
      <c r="W20" s="240"/>
      <c r="X20" s="240"/>
      <c r="Y20" s="290"/>
      <c r="Z20" s="500"/>
      <c r="AA20" s="240"/>
      <c r="AB20" s="4"/>
      <c r="AC20" s="240"/>
      <c r="AD20" s="4"/>
      <c r="AE20" s="240"/>
      <c r="AF20" s="4"/>
      <c r="AG20" s="240"/>
      <c r="AH20" s="240"/>
      <c r="AI20" s="240"/>
      <c r="AJ20" s="240"/>
      <c r="AK20" s="240"/>
      <c r="AL20" s="240"/>
      <c r="AM20" s="240"/>
      <c r="AN20" s="240"/>
      <c r="AO20" s="240"/>
      <c r="AP20" s="292"/>
      <c r="AQ20" s="302"/>
      <c r="AR20" s="593"/>
    </row>
    <row r="21" spans="1:44" ht="22.5" customHeight="1" x14ac:dyDescent="0.15">
      <c r="A21">
        <v>16</v>
      </c>
      <c r="B21" s="323" t="s">
        <v>39</v>
      </c>
      <c r="C21" s="324" t="s">
        <v>91</v>
      </c>
      <c r="D21" s="325" t="s">
        <v>35</v>
      </c>
      <c r="E21" s="326" t="s">
        <v>36</v>
      </c>
      <c r="F21" s="240">
        <v>295327474</v>
      </c>
      <c r="G21" s="240">
        <v>1837397666</v>
      </c>
      <c r="H21" s="240">
        <v>146923699</v>
      </c>
      <c r="I21" s="283">
        <v>536676311</v>
      </c>
      <c r="J21" s="285">
        <v>42</v>
      </c>
      <c r="K21" s="284">
        <v>2816325150</v>
      </c>
      <c r="L21" s="240"/>
      <c r="M21" s="240"/>
      <c r="N21" s="240"/>
      <c r="O21" s="240"/>
      <c r="P21" s="240"/>
      <c r="Q21" s="240"/>
      <c r="R21" s="240"/>
      <c r="S21" s="240"/>
      <c r="T21" s="283"/>
      <c r="U21" s="288"/>
      <c r="V21" s="284"/>
      <c r="W21" s="240">
        <v>2816325150</v>
      </c>
      <c r="X21" s="240"/>
      <c r="Y21" s="290" t="s">
        <v>440</v>
      </c>
      <c r="Z21" s="309" t="s">
        <v>235</v>
      </c>
      <c r="AA21" s="240">
        <v>18</v>
      </c>
      <c r="AB21" s="4"/>
      <c r="AC21" s="240"/>
      <c r="AD21" s="4"/>
      <c r="AE21" s="240"/>
      <c r="AF21" s="4"/>
      <c r="AG21" s="240"/>
      <c r="AH21" s="240">
        <v>156462508</v>
      </c>
      <c r="AI21" s="240"/>
      <c r="AJ21" s="240"/>
      <c r="AK21" s="240"/>
      <c r="AL21" s="240">
        <v>22</v>
      </c>
      <c r="AM21" s="240">
        <v>7694877</v>
      </c>
      <c r="AN21" s="240">
        <v>67055360</v>
      </c>
      <c r="AO21" s="240"/>
      <c r="AP21" s="292" t="s">
        <v>440</v>
      </c>
      <c r="AQ21" s="302">
        <v>10.49</v>
      </c>
      <c r="AR21" s="536" t="s">
        <v>148</v>
      </c>
    </row>
    <row r="22" spans="1:44" ht="22.5" customHeight="1" x14ac:dyDescent="0.15">
      <c r="A22">
        <v>17</v>
      </c>
      <c r="B22" s="323" t="s">
        <v>39</v>
      </c>
      <c r="C22" s="324" t="s">
        <v>92</v>
      </c>
      <c r="D22" s="323" t="s">
        <v>35</v>
      </c>
      <c r="E22" s="330" t="s">
        <v>38</v>
      </c>
      <c r="F22" s="240">
        <v>2694293649</v>
      </c>
      <c r="G22" s="240">
        <v>1793879125</v>
      </c>
      <c r="H22" s="240">
        <v>291377681</v>
      </c>
      <c r="I22" s="283">
        <v>5691515045</v>
      </c>
      <c r="J22" s="285">
        <v>383.1</v>
      </c>
      <c r="K22" s="284">
        <v>10471065500</v>
      </c>
      <c r="L22" s="240">
        <v>1624193940</v>
      </c>
      <c r="M22" s="240">
        <v>655223957</v>
      </c>
      <c r="N22" s="240">
        <v>213112930</v>
      </c>
      <c r="O22" s="240">
        <v>62958084</v>
      </c>
      <c r="P22" s="240">
        <v>1837306870</v>
      </c>
      <c r="Q22" s="240">
        <v>42620</v>
      </c>
      <c r="R22" s="240">
        <v>718182041</v>
      </c>
      <c r="S22" s="240"/>
      <c r="T22" s="283"/>
      <c r="U22" s="288">
        <v>231</v>
      </c>
      <c r="V22" s="284">
        <v>2555531531</v>
      </c>
      <c r="W22" s="240">
        <v>13026597031</v>
      </c>
      <c r="X22" s="240"/>
      <c r="Y22" s="290" t="s">
        <v>440</v>
      </c>
      <c r="Z22" s="5" t="s">
        <v>236</v>
      </c>
      <c r="AA22" s="240">
        <v>7</v>
      </c>
      <c r="AB22" s="4"/>
      <c r="AC22" s="240"/>
      <c r="AD22" s="4"/>
      <c r="AE22" s="240"/>
      <c r="AF22" s="4"/>
      <c r="AG22" s="240"/>
      <c r="AH22" s="240">
        <v>1860942433</v>
      </c>
      <c r="AI22" s="240"/>
      <c r="AJ22" s="240"/>
      <c r="AK22" s="240"/>
      <c r="AL22" s="240">
        <v>102</v>
      </c>
      <c r="AM22" s="240">
        <v>35591795</v>
      </c>
      <c r="AN22" s="240">
        <v>21210118</v>
      </c>
      <c r="AO22" s="240"/>
      <c r="AP22" s="292" t="s">
        <v>440</v>
      </c>
      <c r="AQ22" s="302">
        <v>34.79</v>
      </c>
      <c r="AR22" s="536" t="s">
        <v>149</v>
      </c>
    </row>
    <row r="23" spans="1:44" ht="22.5" customHeight="1" x14ac:dyDescent="0.15">
      <c r="A23">
        <v>18</v>
      </c>
      <c r="B23" s="323" t="s">
        <v>88</v>
      </c>
      <c r="C23" s="324" t="s">
        <v>90</v>
      </c>
      <c r="D23" s="325" t="s">
        <v>87</v>
      </c>
      <c r="E23" s="326" t="s">
        <v>36</v>
      </c>
      <c r="F23" s="240">
        <v>611749769</v>
      </c>
      <c r="G23" s="240">
        <v>697572063</v>
      </c>
      <c r="H23" s="240">
        <v>113305812</v>
      </c>
      <c r="I23" s="283">
        <v>1121363223</v>
      </c>
      <c r="J23" s="285">
        <v>87</v>
      </c>
      <c r="K23" s="284">
        <v>2543990867</v>
      </c>
      <c r="L23" s="240"/>
      <c r="M23" s="240"/>
      <c r="N23" s="240"/>
      <c r="O23" s="240"/>
      <c r="P23" s="240"/>
      <c r="Q23" s="240"/>
      <c r="R23" s="240"/>
      <c r="S23" s="240"/>
      <c r="T23" s="283"/>
      <c r="U23" s="295"/>
      <c r="V23" s="284"/>
      <c r="W23" s="240">
        <v>2543990867</v>
      </c>
      <c r="X23" s="240"/>
      <c r="Y23" s="290" t="s">
        <v>440</v>
      </c>
      <c r="Z23" s="5" t="s">
        <v>237</v>
      </c>
      <c r="AA23" s="240">
        <v>475888</v>
      </c>
      <c r="AB23" s="4"/>
      <c r="AC23" s="240"/>
      <c r="AD23" s="4"/>
      <c r="AE23" s="240"/>
      <c r="AF23" s="4"/>
      <c r="AG23" s="240"/>
      <c r="AH23" s="240">
        <v>5345</v>
      </c>
      <c r="AI23" s="240"/>
      <c r="AJ23" s="240"/>
      <c r="AK23" s="240"/>
      <c r="AL23" s="240">
        <v>20</v>
      </c>
      <c r="AM23" s="240">
        <v>6950794</v>
      </c>
      <c r="AN23" s="240">
        <v>29241274</v>
      </c>
      <c r="AO23" s="240">
        <v>444671716571</v>
      </c>
      <c r="AP23" s="292">
        <v>0.56999999999999995</v>
      </c>
      <c r="AQ23" s="302">
        <v>24.05</v>
      </c>
      <c r="AR23" s="536" t="s">
        <v>150</v>
      </c>
    </row>
    <row r="24" spans="1:44" ht="22.5" customHeight="1" x14ac:dyDescent="0.15">
      <c r="A24">
        <v>19</v>
      </c>
      <c r="B24" s="328" t="s">
        <v>93</v>
      </c>
      <c r="C24" s="327" t="s">
        <v>356</v>
      </c>
      <c r="D24" s="328" t="s">
        <v>338</v>
      </c>
      <c r="E24" s="328" t="s">
        <v>339</v>
      </c>
      <c r="F24" s="240">
        <v>105474098</v>
      </c>
      <c r="G24" s="240">
        <v>60395182</v>
      </c>
      <c r="H24" s="240">
        <v>7810867</v>
      </c>
      <c r="I24" s="283"/>
      <c r="J24" s="285">
        <v>15</v>
      </c>
      <c r="K24" s="284">
        <v>173680147</v>
      </c>
      <c r="L24" s="240"/>
      <c r="M24" s="240"/>
      <c r="N24" s="240"/>
      <c r="O24" s="240"/>
      <c r="P24" s="240"/>
      <c r="Q24" s="240"/>
      <c r="R24" s="240"/>
      <c r="S24" s="240"/>
      <c r="T24" s="283"/>
      <c r="U24" s="288"/>
      <c r="V24" s="284"/>
      <c r="W24" s="240">
        <v>173680147</v>
      </c>
      <c r="X24" s="240">
        <v>174032000</v>
      </c>
      <c r="Y24" s="290">
        <v>100.2</v>
      </c>
      <c r="Z24" s="5" t="s">
        <v>359</v>
      </c>
      <c r="AA24" s="240">
        <v>21754</v>
      </c>
      <c r="AB24" s="4"/>
      <c r="AC24" s="240"/>
      <c r="AD24" s="4"/>
      <c r="AE24" s="240"/>
      <c r="AF24" s="4"/>
      <c r="AG24" s="240"/>
      <c r="AH24" s="240">
        <v>7983</v>
      </c>
      <c r="AI24" s="240"/>
      <c r="AJ24" s="240"/>
      <c r="AK24" s="240"/>
      <c r="AL24" s="240">
        <v>1</v>
      </c>
      <c r="AM24" s="240">
        <v>474535</v>
      </c>
      <c r="AN24" s="240">
        <v>11578676</v>
      </c>
      <c r="AO24" s="240"/>
      <c r="AP24" s="292"/>
      <c r="AQ24" s="302">
        <v>60.73</v>
      </c>
      <c r="AR24" s="536" t="s">
        <v>148</v>
      </c>
    </row>
    <row r="25" spans="1:44" ht="22.5" customHeight="1" x14ac:dyDescent="0.15">
      <c r="A25">
        <v>20</v>
      </c>
      <c r="B25" s="323" t="s">
        <v>93</v>
      </c>
      <c r="C25" s="324" t="s">
        <v>94</v>
      </c>
      <c r="D25" s="325" t="s">
        <v>35</v>
      </c>
      <c r="E25" s="326" t="s">
        <v>36</v>
      </c>
      <c r="F25" s="240">
        <v>163829400949</v>
      </c>
      <c r="G25" s="240">
        <v>4906401250</v>
      </c>
      <c r="H25" s="240">
        <v>24159490151</v>
      </c>
      <c r="I25" s="283">
        <v>70279667347</v>
      </c>
      <c r="J25" s="285">
        <v>23299</v>
      </c>
      <c r="K25" s="284">
        <v>263174959697</v>
      </c>
      <c r="L25" s="240"/>
      <c r="M25" s="240"/>
      <c r="N25" s="240"/>
      <c r="O25" s="240"/>
      <c r="P25" s="240"/>
      <c r="Q25" s="240"/>
      <c r="R25" s="240"/>
      <c r="S25" s="240"/>
      <c r="T25" s="283"/>
      <c r="U25" s="288"/>
      <c r="V25" s="284"/>
      <c r="W25" s="240">
        <v>263174959697</v>
      </c>
      <c r="X25" s="240">
        <v>4035053535</v>
      </c>
      <c r="Y25" s="290">
        <v>1.53</v>
      </c>
      <c r="Z25" s="5" t="s">
        <v>238</v>
      </c>
      <c r="AA25" s="240">
        <v>62378</v>
      </c>
      <c r="AB25" s="4"/>
      <c r="AC25" s="240"/>
      <c r="AD25" s="4"/>
      <c r="AE25" s="240"/>
      <c r="AF25" s="4"/>
      <c r="AG25" s="240"/>
      <c r="AH25" s="240">
        <v>11527</v>
      </c>
      <c r="AI25" s="240"/>
      <c r="AJ25" s="240"/>
      <c r="AK25" s="240"/>
      <c r="AL25" s="240">
        <v>2070</v>
      </c>
      <c r="AM25" s="240">
        <v>719057266</v>
      </c>
      <c r="AN25" s="240">
        <v>11295547</v>
      </c>
      <c r="AO25" s="240"/>
      <c r="AP25" s="292" t="s">
        <v>440</v>
      </c>
      <c r="AQ25" s="302">
        <v>62.25</v>
      </c>
      <c r="AR25" s="536" t="s">
        <v>148</v>
      </c>
    </row>
    <row r="26" spans="1:44" ht="22.5" customHeight="1" x14ac:dyDescent="0.15">
      <c r="A26">
        <v>21</v>
      </c>
      <c r="B26" s="328" t="s">
        <v>93</v>
      </c>
      <c r="C26" s="327" t="s">
        <v>507</v>
      </c>
      <c r="D26" s="328" t="s">
        <v>338</v>
      </c>
      <c r="E26" s="328" t="s">
        <v>339</v>
      </c>
      <c r="F26" s="240">
        <v>343142399</v>
      </c>
      <c r="G26" s="240">
        <v>29953892</v>
      </c>
      <c r="H26" s="240">
        <v>21451606</v>
      </c>
      <c r="I26" s="283">
        <v>344246179</v>
      </c>
      <c r="J26" s="285">
        <v>48.8</v>
      </c>
      <c r="K26" s="284">
        <v>738794077</v>
      </c>
      <c r="L26" s="240"/>
      <c r="M26" s="240"/>
      <c r="N26" s="240"/>
      <c r="O26" s="240"/>
      <c r="P26" s="240"/>
      <c r="Q26" s="240"/>
      <c r="R26" s="240"/>
      <c r="S26" s="240"/>
      <c r="T26" s="283"/>
      <c r="U26" s="288"/>
      <c r="V26" s="284"/>
      <c r="W26" s="240">
        <v>738794077</v>
      </c>
      <c r="X26" s="240"/>
      <c r="Y26" s="290"/>
      <c r="Z26" s="5" t="s">
        <v>358</v>
      </c>
      <c r="AA26" s="240">
        <v>236403</v>
      </c>
      <c r="AB26" s="4"/>
      <c r="AC26" s="240"/>
      <c r="AD26" s="4"/>
      <c r="AE26" s="240"/>
      <c r="AF26" s="4"/>
      <c r="AG26" s="240"/>
      <c r="AH26" s="240">
        <v>3125</v>
      </c>
      <c r="AI26" s="240"/>
      <c r="AJ26" s="240"/>
      <c r="AK26" s="240"/>
      <c r="AL26" s="240">
        <v>5</v>
      </c>
      <c r="AM26" s="240">
        <v>2018563</v>
      </c>
      <c r="AN26" s="240">
        <v>15139222</v>
      </c>
      <c r="AO26" s="240"/>
      <c r="AP26" s="292"/>
      <c r="AQ26" s="302">
        <v>46.45</v>
      </c>
      <c r="AR26" s="536" t="s">
        <v>148</v>
      </c>
    </row>
    <row r="27" spans="1:44" ht="22.5" customHeight="1" x14ac:dyDescent="0.15">
      <c r="A27">
        <v>22</v>
      </c>
      <c r="B27" s="323" t="s">
        <v>93</v>
      </c>
      <c r="C27" s="324" t="s">
        <v>95</v>
      </c>
      <c r="D27" s="325" t="s">
        <v>35</v>
      </c>
      <c r="E27" s="326" t="s">
        <v>36</v>
      </c>
      <c r="F27" s="240">
        <v>3150159733</v>
      </c>
      <c r="G27" s="240">
        <v>554720213</v>
      </c>
      <c r="H27" s="240">
        <v>259369853</v>
      </c>
      <c r="I27" s="283">
        <v>1508980441</v>
      </c>
      <c r="J27" s="285">
        <v>448</v>
      </c>
      <c r="K27" s="284">
        <v>5473230240</v>
      </c>
      <c r="L27" s="240"/>
      <c r="M27" s="240"/>
      <c r="N27" s="240"/>
      <c r="O27" s="240"/>
      <c r="P27" s="240"/>
      <c r="Q27" s="240"/>
      <c r="R27" s="240"/>
      <c r="S27" s="240"/>
      <c r="T27" s="283"/>
      <c r="U27" s="288"/>
      <c r="V27" s="284"/>
      <c r="W27" s="240">
        <v>5473230240</v>
      </c>
      <c r="X27" s="240"/>
      <c r="Y27" s="290" t="s">
        <v>440</v>
      </c>
      <c r="Z27" s="293" t="s">
        <v>239</v>
      </c>
      <c r="AA27" s="240">
        <v>5690</v>
      </c>
      <c r="AB27" s="4"/>
      <c r="AC27" s="240"/>
      <c r="AD27" s="4"/>
      <c r="AE27" s="240"/>
      <c r="AF27" s="4"/>
      <c r="AG27" s="240"/>
      <c r="AH27" s="240">
        <v>961903</v>
      </c>
      <c r="AI27" s="240"/>
      <c r="AJ27" s="240"/>
      <c r="AK27" s="240"/>
      <c r="AL27" s="240">
        <v>43</v>
      </c>
      <c r="AM27" s="240">
        <v>14954180</v>
      </c>
      <c r="AN27" s="240">
        <v>12217031</v>
      </c>
      <c r="AO27" s="240"/>
      <c r="AP27" s="292" t="s">
        <v>440</v>
      </c>
      <c r="AQ27" s="302">
        <v>57.56</v>
      </c>
      <c r="AR27" s="536" t="s">
        <v>148</v>
      </c>
    </row>
    <row r="28" spans="1:44" ht="22.5" customHeight="1" x14ac:dyDescent="0.15">
      <c r="A28">
        <v>23</v>
      </c>
      <c r="B28" s="323" t="s">
        <v>93</v>
      </c>
      <c r="C28" s="324" t="s">
        <v>332</v>
      </c>
      <c r="D28" s="325" t="s">
        <v>35</v>
      </c>
      <c r="E28" s="326" t="s">
        <v>36</v>
      </c>
      <c r="F28" s="240">
        <v>27521708026</v>
      </c>
      <c r="G28" s="240">
        <v>2034825463</v>
      </c>
      <c r="H28" s="240">
        <v>1647127817</v>
      </c>
      <c r="I28" s="283">
        <v>20258253769</v>
      </c>
      <c r="J28" s="285">
        <v>3914</v>
      </c>
      <c r="K28" s="284">
        <v>51461915075</v>
      </c>
      <c r="L28" s="240"/>
      <c r="M28" s="240"/>
      <c r="N28" s="240"/>
      <c r="O28" s="240"/>
      <c r="P28" s="240"/>
      <c r="Q28" s="240"/>
      <c r="R28" s="240"/>
      <c r="S28" s="240"/>
      <c r="T28" s="283"/>
      <c r="U28" s="295"/>
      <c r="V28" s="284"/>
      <c r="W28" s="240">
        <v>51461915075</v>
      </c>
      <c r="X28" s="240">
        <v>3077860900</v>
      </c>
      <c r="Y28" s="290">
        <v>5.98</v>
      </c>
      <c r="Z28" s="5" t="s">
        <v>240</v>
      </c>
      <c r="AA28" s="240">
        <v>83174587</v>
      </c>
      <c r="AB28" s="4"/>
      <c r="AC28" s="240"/>
      <c r="AD28" s="4"/>
      <c r="AE28" s="240"/>
      <c r="AF28" s="4"/>
      <c r="AG28" s="240"/>
      <c r="AH28" s="240">
        <v>618</v>
      </c>
      <c r="AI28" s="240"/>
      <c r="AJ28" s="240"/>
      <c r="AK28" s="240"/>
      <c r="AL28" s="240">
        <v>404</v>
      </c>
      <c r="AM28" s="240">
        <v>140606325</v>
      </c>
      <c r="AN28" s="240">
        <v>13148164</v>
      </c>
      <c r="AO28" s="240"/>
      <c r="AP28" s="292" t="s">
        <v>440</v>
      </c>
      <c r="AQ28" s="302">
        <v>53.48</v>
      </c>
      <c r="AR28" s="536" t="s">
        <v>148</v>
      </c>
    </row>
    <row r="29" spans="1:44" ht="22.5" customHeight="1" x14ac:dyDescent="0.15">
      <c r="A29">
        <v>24</v>
      </c>
      <c r="B29" s="328" t="s">
        <v>97</v>
      </c>
      <c r="C29" s="327" t="s">
        <v>428</v>
      </c>
      <c r="D29" s="328" t="s">
        <v>338</v>
      </c>
      <c r="E29" s="328" t="s">
        <v>339</v>
      </c>
      <c r="F29" s="240">
        <v>20530244</v>
      </c>
      <c r="G29" s="240">
        <v>24064022</v>
      </c>
      <c r="H29" s="240">
        <v>968122</v>
      </c>
      <c r="I29" s="283">
        <v>39015979</v>
      </c>
      <c r="J29" s="286">
        <v>1.9</v>
      </c>
      <c r="K29" s="284">
        <v>84578368</v>
      </c>
      <c r="L29" s="240"/>
      <c r="M29" s="240"/>
      <c r="N29" s="240"/>
      <c r="O29" s="240"/>
      <c r="P29" s="240"/>
      <c r="Q29" s="240"/>
      <c r="R29" s="240"/>
      <c r="S29" s="240"/>
      <c r="T29" s="283"/>
      <c r="U29" s="308"/>
      <c r="V29" s="284"/>
      <c r="W29" s="240">
        <v>84578368</v>
      </c>
      <c r="X29" s="240"/>
      <c r="Y29" s="290"/>
      <c r="Z29" s="5" t="s">
        <v>360</v>
      </c>
      <c r="AA29" s="240">
        <v>42</v>
      </c>
      <c r="AB29" s="4" t="s">
        <v>361</v>
      </c>
      <c r="AC29" s="240">
        <v>173</v>
      </c>
      <c r="AD29" s="4"/>
      <c r="AE29" s="240"/>
      <c r="AF29" s="4"/>
      <c r="AG29" s="240"/>
      <c r="AH29" s="240">
        <v>2013770</v>
      </c>
      <c r="AI29" s="240">
        <v>488892</v>
      </c>
      <c r="AJ29" s="240" t="s">
        <v>440</v>
      </c>
      <c r="AK29" s="240" t="s">
        <v>440</v>
      </c>
      <c r="AL29" s="310">
        <v>0.6</v>
      </c>
      <c r="AM29" s="240">
        <v>231088</v>
      </c>
      <c r="AN29" s="240">
        <v>42716347</v>
      </c>
      <c r="AO29" s="240"/>
      <c r="AP29" s="292"/>
      <c r="AQ29" s="302">
        <v>24.27</v>
      </c>
      <c r="AR29" s="536" t="s">
        <v>148</v>
      </c>
    </row>
    <row r="30" spans="1:44" ht="22.5" customHeight="1" x14ac:dyDescent="0.15">
      <c r="A30">
        <v>25</v>
      </c>
      <c r="B30" s="328" t="s">
        <v>97</v>
      </c>
      <c r="C30" s="327" t="s">
        <v>427</v>
      </c>
      <c r="D30" s="328" t="s">
        <v>338</v>
      </c>
      <c r="E30" s="328" t="s">
        <v>339</v>
      </c>
      <c r="F30" s="240">
        <v>351580</v>
      </c>
      <c r="G30" s="240">
        <v>2201916</v>
      </c>
      <c r="H30" s="240">
        <v>37393</v>
      </c>
      <c r="I30" s="283">
        <v>4861752</v>
      </c>
      <c r="J30" s="287">
        <v>0.05</v>
      </c>
      <c r="K30" s="284">
        <v>7452641</v>
      </c>
      <c r="L30" s="240"/>
      <c r="M30" s="240"/>
      <c r="N30" s="240"/>
      <c r="O30" s="240"/>
      <c r="P30" s="240"/>
      <c r="Q30" s="240"/>
      <c r="R30" s="240"/>
      <c r="S30" s="240"/>
      <c r="T30" s="283"/>
      <c r="U30" s="288"/>
      <c r="V30" s="284"/>
      <c r="W30" s="240">
        <v>7452641</v>
      </c>
      <c r="X30" s="240"/>
      <c r="Y30" s="290"/>
      <c r="Z30" s="499" t="s">
        <v>363</v>
      </c>
      <c r="AA30" s="240">
        <v>71</v>
      </c>
      <c r="AB30" s="4" t="s">
        <v>443</v>
      </c>
      <c r="AC30" s="240">
        <v>6</v>
      </c>
      <c r="AD30" s="4" t="s">
        <v>361</v>
      </c>
      <c r="AE30" s="240">
        <v>566</v>
      </c>
      <c r="AF30" s="4"/>
      <c r="AG30" s="240"/>
      <c r="AH30" s="240">
        <v>104966</v>
      </c>
      <c r="AI30" s="240">
        <v>1242106</v>
      </c>
      <c r="AJ30" s="240">
        <v>13167</v>
      </c>
      <c r="AK30" s="240" t="s">
        <v>440</v>
      </c>
      <c r="AL30" s="311">
        <v>0.05</v>
      </c>
      <c r="AM30" s="240">
        <v>20362</v>
      </c>
      <c r="AN30" s="240" t="s">
        <v>440</v>
      </c>
      <c r="AO30" s="240"/>
      <c r="AP30" s="292"/>
      <c r="AQ30" s="302">
        <v>4.72</v>
      </c>
      <c r="AR30" s="536" t="s">
        <v>148</v>
      </c>
    </row>
    <row r="31" spans="1:44" ht="22.5" customHeight="1" x14ac:dyDescent="0.15">
      <c r="A31">
        <v>26</v>
      </c>
      <c r="B31" s="328" t="s">
        <v>97</v>
      </c>
      <c r="C31" s="327" t="s">
        <v>355</v>
      </c>
      <c r="D31" s="328" t="s">
        <v>338</v>
      </c>
      <c r="E31" s="328" t="s">
        <v>339</v>
      </c>
      <c r="F31" s="240">
        <v>2043061</v>
      </c>
      <c r="G31" s="240">
        <v>2432001</v>
      </c>
      <c r="H31" s="240">
        <v>74473</v>
      </c>
      <c r="I31" s="283">
        <v>12909356</v>
      </c>
      <c r="J31" s="287">
        <v>0.18</v>
      </c>
      <c r="K31" s="284">
        <v>17458892</v>
      </c>
      <c r="L31" s="240"/>
      <c r="M31" s="240"/>
      <c r="N31" s="240"/>
      <c r="O31" s="240"/>
      <c r="P31" s="240"/>
      <c r="Q31" s="240"/>
      <c r="R31" s="240"/>
      <c r="S31" s="240"/>
      <c r="T31" s="283"/>
      <c r="U31" s="288"/>
      <c r="V31" s="284"/>
      <c r="W31" s="240">
        <v>17458892</v>
      </c>
      <c r="X31" s="240"/>
      <c r="Y31" s="290"/>
      <c r="Z31" s="5" t="s">
        <v>360</v>
      </c>
      <c r="AA31" s="240">
        <v>6</v>
      </c>
      <c r="AB31" s="498" t="s">
        <v>362</v>
      </c>
      <c r="AC31" s="240">
        <v>9</v>
      </c>
      <c r="AD31" s="4"/>
      <c r="AE31" s="240"/>
      <c r="AF31" s="4"/>
      <c r="AG31" s="240"/>
      <c r="AH31" s="240">
        <v>2909815</v>
      </c>
      <c r="AI31" s="240">
        <v>1939876</v>
      </c>
      <c r="AJ31" s="240" t="s">
        <v>440</v>
      </c>
      <c r="AK31" s="240" t="s">
        <v>440</v>
      </c>
      <c r="AL31" s="310">
        <v>0.1</v>
      </c>
      <c r="AM31" s="240">
        <v>47701</v>
      </c>
      <c r="AN31" s="240" t="s">
        <v>440</v>
      </c>
      <c r="AO31" s="240"/>
      <c r="AP31" s="292"/>
      <c r="AQ31" s="302">
        <v>11.7</v>
      </c>
      <c r="AR31" s="536" t="s">
        <v>148</v>
      </c>
    </row>
    <row r="32" spans="1:44" ht="22.5" customHeight="1" x14ac:dyDescent="0.15">
      <c r="A32">
        <v>27</v>
      </c>
      <c r="B32" s="323" t="s">
        <v>98</v>
      </c>
      <c r="C32" s="324" t="s">
        <v>99</v>
      </c>
      <c r="D32" s="325" t="s">
        <v>35</v>
      </c>
      <c r="E32" s="326" t="s">
        <v>36</v>
      </c>
      <c r="F32" s="240">
        <v>4443975337</v>
      </c>
      <c r="G32" s="240">
        <v>164959658</v>
      </c>
      <c r="H32" s="240">
        <v>127207344</v>
      </c>
      <c r="I32" s="283">
        <v>468787967</v>
      </c>
      <c r="J32" s="285">
        <v>632</v>
      </c>
      <c r="K32" s="284">
        <v>5204930308</v>
      </c>
      <c r="L32" s="240"/>
      <c r="M32" s="240"/>
      <c r="N32" s="240"/>
      <c r="O32" s="240"/>
      <c r="P32" s="240"/>
      <c r="Q32" s="240"/>
      <c r="R32" s="240"/>
      <c r="S32" s="240"/>
      <c r="T32" s="283"/>
      <c r="U32" s="288"/>
      <c r="V32" s="284"/>
      <c r="W32" s="240">
        <v>5204930308</v>
      </c>
      <c r="X32" s="240"/>
      <c r="Y32" s="290" t="s">
        <v>440</v>
      </c>
      <c r="Z32" s="293" t="s">
        <v>458</v>
      </c>
      <c r="AA32" s="240">
        <v>5355467</v>
      </c>
      <c r="AB32" s="4"/>
      <c r="AC32" s="240"/>
      <c r="AD32" s="4"/>
      <c r="AE32" s="240"/>
      <c r="AF32" s="4"/>
      <c r="AG32" s="240"/>
      <c r="AH32" s="240">
        <v>971</v>
      </c>
      <c r="AI32" s="240"/>
      <c r="AJ32" s="240"/>
      <c r="AK32" s="240"/>
      <c r="AL32" s="240">
        <v>40</v>
      </c>
      <c r="AM32" s="240">
        <v>14221121</v>
      </c>
      <c r="AN32" s="240">
        <v>8235649</v>
      </c>
      <c r="AO32" s="240"/>
      <c r="AP32" s="292" t="s">
        <v>440</v>
      </c>
      <c r="AQ32" s="302">
        <v>85.38</v>
      </c>
      <c r="AR32" s="536" t="s">
        <v>148</v>
      </c>
    </row>
    <row r="33" spans="1:44" ht="22.5" customHeight="1" x14ac:dyDescent="0.15">
      <c r="A33">
        <v>28</v>
      </c>
      <c r="B33" s="328" t="s">
        <v>98</v>
      </c>
      <c r="C33" s="327" t="s">
        <v>354</v>
      </c>
      <c r="D33" s="328" t="s">
        <v>338</v>
      </c>
      <c r="E33" s="328" t="s">
        <v>339</v>
      </c>
      <c r="F33" s="240">
        <v>46380686</v>
      </c>
      <c r="G33" s="240">
        <v>127839000</v>
      </c>
      <c r="H33" s="240">
        <v>1327632</v>
      </c>
      <c r="I33" s="283">
        <v>38705000</v>
      </c>
      <c r="J33" s="285">
        <v>6.5</v>
      </c>
      <c r="K33" s="284">
        <v>214252318</v>
      </c>
      <c r="L33" s="240"/>
      <c r="M33" s="240"/>
      <c r="N33" s="240"/>
      <c r="O33" s="240"/>
      <c r="P33" s="240"/>
      <c r="Q33" s="240"/>
      <c r="R33" s="240"/>
      <c r="S33" s="240"/>
      <c r="T33" s="283"/>
      <c r="U33" s="295"/>
      <c r="V33" s="284"/>
      <c r="W33" s="240">
        <v>214252318</v>
      </c>
      <c r="X33" s="240">
        <v>192075000</v>
      </c>
      <c r="Y33" s="290">
        <v>89.65</v>
      </c>
      <c r="Z33" s="291" t="s">
        <v>364</v>
      </c>
      <c r="AA33" s="240">
        <v>47145</v>
      </c>
      <c r="AB33" s="4" t="s">
        <v>374</v>
      </c>
      <c r="AC33" s="240">
        <v>38175</v>
      </c>
      <c r="AD33" s="4"/>
      <c r="AE33" s="240"/>
      <c r="AF33" s="4"/>
      <c r="AG33" s="240"/>
      <c r="AH33" s="240">
        <v>4544</v>
      </c>
      <c r="AI33" s="240">
        <v>5612</v>
      </c>
      <c r="AJ33" s="240" t="s">
        <v>440</v>
      </c>
      <c r="AK33" s="240" t="s">
        <v>440</v>
      </c>
      <c r="AL33" s="240">
        <v>1</v>
      </c>
      <c r="AM33" s="240">
        <v>585388</v>
      </c>
      <c r="AN33" s="240">
        <v>32482011</v>
      </c>
      <c r="AO33" s="240"/>
      <c r="AP33" s="292"/>
      <c r="AQ33" s="302">
        <v>21.65</v>
      </c>
      <c r="AR33" s="536" t="s">
        <v>148</v>
      </c>
    </row>
    <row r="34" spans="1:44" ht="22.5" customHeight="1" x14ac:dyDescent="0.15">
      <c r="A34">
        <v>29</v>
      </c>
      <c r="B34" s="323" t="s">
        <v>98</v>
      </c>
      <c r="C34" s="324" t="s">
        <v>100</v>
      </c>
      <c r="D34" s="325" t="s">
        <v>35</v>
      </c>
      <c r="E34" s="326" t="s">
        <v>36</v>
      </c>
      <c r="F34" s="240">
        <v>18092323646</v>
      </c>
      <c r="G34" s="240">
        <v>1164008438</v>
      </c>
      <c r="H34" s="240">
        <v>1480888757</v>
      </c>
      <c r="I34" s="283">
        <v>7915077637</v>
      </c>
      <c r="J34" s="285"/>
      <c r="K34" s="284">
        <v>28652298479</v>
      </c>
      <c r="L34" s="240"/>
      <c r="M34" s="240"/>
      <c r="N34" s="240"/>
      <c r="O34" s="240"/>
      <c r="P34" s="240"/>
      <c r="Q34" s="240"/>
      <c r="R34" s="240"/>
      <c r="S34" s="240"/>
      <c r="T34" s="283"/>
      <c r="U34" s="288"/>
      <c r="V34" s="284"/>
      <c r="W34" s="240">
        <v>28652298479</v>
      </c>
      <c r="X34" s="240"/>
      <c r="Y34" s="290" t="s">
        <v>440</v>
      </c>
      <c r="Z34" s="496" t="s">
        <v>459</v>
      </c>
      <c r="AA34" s="240">
        <v>74943260</v>
      </c>
      <c r="AB34" s="4"/>
      <c r="AC34" s="240"/>
      <c r="AD34" s="4"/>
      <c r="AE34" s="240"/>
      <c r="AF34" s="4"/>
      <c r="AG34" s="240"/>
      <c r="AH34" s="240">
        <v>382</v>
      </c>
      <c r="AI34" s="240"/>
      <c r="AJ34" s="240"/>
      <c r="AK34" s="240"/>
      <c r="AL34" s="240">
        <v>225</v>
      </c>
      <c r="AM34" s="240">
        <v>78284968</v>
      </c>
      <c r="AN34" s="240"/>
      <c r="AO34" s="240"/>
      <c r="AP34" s="292" t="s">
        <v>440</v>
      </c>
      <c r="AQ34" s="302">
        <v>63.14</v>
      </c>
      <c r="AR34" s="536" t="s">
        <v>148</v>
      </c>
    </row>
    <row r="35" spans="1:44" ht="22.5" customHeight="1" x14ac:dyDescent="0.15">
      <c r="A35">
        <v>30</v>
      </c>
      <c r="B35" s="323" t="s">
        <v>98</v>
      </c>
      <c r="C35" s="324" t="s">
        <v>101</v>
      </c>
      <c r="D35" s="325" t="s">
        <v>35</v>
      </c>
      <c r="E35" s="326" t="s">
        <v>36</v>
      </c>
      <c r="F35" s="240">
        <v>9598142937</v>
      </c>
      <c r="G35" s="240">
        <v>617517107</v>
      </c>
      <c r="H35" s="240">
        <v>785625011</v>
      </c>
      <c r="I35" s="283">
        <v>5616421683</v>
      </c>
      <c r="J35" s="285">
        <v>1365</v>
      </c>
      <c r="K35" s="284">
        <v>16617706739</v>
      </c>
      <c r="L35" s="240"/>
      <c r="M35" s="240"/>
      <c r="N35" s="240"/>
      <c r="O35" s="240"/>
      <c r="P35" s="240"/>
      <c r="Q35" s="240"/>
      <c r="R35" s="240"/>
      <c r="S35" s="240"/>
      <c r="T35" s="283"/>
      <c r="U35" s="295"/>
      <c r="V35" s="284"/>
      <c r="W35" s="240">
        <v>16617706739</v>
      </c>
      <c r="X35" s="240"/>
      <c r="Y35" s="290" t="s">
        <v>440</v>
      </c>
      <c r="Z35" s="309" t="s">
        <v>460</v>
      </c>
      <c r="AA35" s="240">
        <v>40498941</v>
      </c>
      <c r="AB35" s="4"/>
      <c r="AC35" s="240"/>
      <c r="AD35" s="4"/>
      <c r="AE35" s="240"/>
      <c r="AF35" s="4"/>
      <c r="AG35" s="240"/>
      <c r="AH35" s="240">
        <v>410</v>
      </c>
      <c r="AI35" s="240"/>
      <c r="AJ35" s="240"/>
      <c r="AK35" s="240"/>
      <c r="AL35" s="240">
        <v>130</v>
      </c>
      <c r="AM35" s="240">
        <v>45403570</v>
      </c>
      <c r="AN35" s="240">
        <v>12174144</v>
      </c>
      <c r="AO35" s="240"/>
      <c r="AP35" s="292" t="s">
        <v>440</v>
      </c>
      <c r="AQ35" s="302">
        <v>57.76</v>
      </c>
      <c r="AR35" s="536" t="s">
        <v>148</v>
      </c>
    </row>
    <row r="36" spans="1:44" ht="22.5" customHeight="1" x14ac:dyDescent="0.15">
      <c r="A36">
        <v>31</v>
      </c>
      <c r="B36" s="328" t="s">
        <v>102</v>
      </c>
      <c r="C36" s="327" t="s">
        <v>430</v>
      </c>
      <c r="D36" s="328" t="s">
        <v>338</v>
      </c>
      <c r="E36" s="328" t="s">
        <v>345</v>
      </c>
      <c r="F36" s="240"/>
      <c r="G36" s="240"/>
      <c r="H36" s="240"/>
      <c r="I36" s="283"/>
      <c r="J36" s="285"/>
      <c r="K36" s="284"/>
      <c r="L36" s="240">
        <v>45784939</v>
      </c>
      <c r="M36" s="240">
        <v>26333072</v>
      </c>
      <c r="N36" s="240">
        <v>29670315</v>
      </c>
      <c r="O36" s="240">
        <v>19977828</v>
      </c>
      <c r="P36" s="240">
        <v>75455254</v>
      </c>
      <c r="Q36" s="240">
        <v>-16935</v>
      </c>
      <c r="R36" s="240">
        <v>46310900</v>
      </c>
      <c r="S36" s="240">
        <v>1104266</v>
      </c>
      <c r="T36" s="283">
        <v>913841</v>
      </c>
      <c r="U36" s="288">
        <v>12</v>
      </c>
      <c r="V36" s="284">
        <v>123767327</v>
      </c>
      <c r="W36" s="240">
        <v>123767327</v>
      </c>
      <c r="X36" s="240">
        <v>1973101</v>
      </c>
      <c r="Y36" s="290">
        <v>1.59</v>
      </c>
      <c r="Z36" s="297" t="s">
        <v>365</v>
      </c>
      <c r="AA36" s="240">
        <v>1751</v>
      </c>
      <c r="AB36" s="4" t="s">
        <v>444</v>
      </c>
      <c r="AC36" s="240">
        <v>7</v>
      </c>
      <c r="AD36" s="4"/>
      <c r="AE36" s="240"/>
      <c r="AF36" s="4"/>
      <c r="AG36" s="240"/>
      <c r="AH36" s="240">
        <v>70683</v>
      </c>
      <c r="AI36" s="240">
        <v>17681046</v>
      </c>
      <c r="AJ36" s="240" t="s">
        <v>440</v>
      </c>
      <c r="AK36" s="240" t="s">
        <v>440</v>
      </c>
      <c r="AL36" s="310">
        <v>0.9</v>
      </c>
      <c r="AM36" s="240">
        <v>338162</v>
      </c>
      <c r="AN36" s="240">
        <v>10313943</v>
      </c>
      <c r="AO36" s="240"/>
      <c r="AP36" s="292"/>
      <c r="AQ36" s="302">
        <v>60.95</v>
      </c>
      <c r="AR36" s="537" t="s">
        <v>149</v>
      </c>
    </row>
    <row r="37" spans="1:44" ht="22.5" customHeight="1" x14ac:dyDescent="0.15">
      <c r="A37">
        <v>32</v>
      </c>
      <c r="B37" s="323" t="s">
        <v>102</v>
      </c>
      <c r="C37" s="324" t="s">
        <v>224</v>
      </c>
      <c r="D37" s="325" t="s">
        <v>35</v>
      </c>
      <c r="E37" s="326" t="s">
        <v>36</v>
      </c>
      <c r="F37" s="240">
        <v>8437927</v>
      </c>
      <c r="G37" s="240">
        <v>9795029</v>
      </c>
      <c r="H37" s="240">
        <v>878448</v>
      </c>
      <c r="I37" s="283">
        <v>110071039</v>
      </c>
      <c r="J37" s="285">
        <v>1.2</v>
      </c>
      <c r="K37" s="284">
        <v>129182444</v>
      </c>
      <c r="L37" s="240"/>
      <c r="M37" s="240"/>
      <c r="N37" s="240"/>
      <c r="O37" s="240"/>
      <c r="P37" s="240"/>
      <c r="Q37" s="240"/>
      <c r="R37" s="240"/>
      <c r="S37" s="240"/>
      <c r="T37" s="283"/>
      <c r="U37" s="288"/>
      <c r="V37" s="284"/>
      <c r="W37" s="240">
        <v>129182444</v>
      </c>
      <c r="X37" s="240">
        <v>29055600</v>
      </c>
      <c r="Y37" s="290">
        <v>22.49</v>
      </c>
      <c r="Z37" s="502" t="s">
        <v>359</v>
      </c>
      <c r="AA37" s="240">
        <v>2175</v>
      </c>
      <c r="AB37" s="4" t="s">
        <v>241</v>
      </c>
      <c r="AC37" s="240">
        <v>1887</v>
      </c>
      <c r="AD37" s="4"/>
      <c r="AE37" s="240"/>
      <c r="AF37" s="4"/>
      <c r="AG37" s="240"/>
      <c r="AH37" s="240">
        <v>59394</v>
      </c>
      <c r="AI37" s="240">
        <v>68459</v>
      </c>
      <c r="AJ37" s="240"/>
      <c r="AK37" s="240"/>
      <c r="AL37" s="240">
        <v>1</v>
      </c>
      <c r="AM37" s="240">
        <v>352957</v>
      </c>
      <c r="AN37" s="240">
        <v>107652037</v>
      </c>
      <c r="AO37" s="240"/>
      <c r="AP37" s="292" t="s">
        <v>440</v>
      </c>
      <c r="AQ37" s="302">
        <v>6.53</v>
      </c>
      <c r="AR37" s="537" t="s">
        <v>148</v>
      </c>
    </row>
    <row r="38" spans="1:44" ht="22.5" customHeight="1" x14ac:dyDescent="0.15">
      <c r="A38">
        <v>33</v>
      </c>
      <c r="B38" s="328" t="s">
        <v>102</v>
      </c>
      <c r="C38" s="327" t="s">
        <v>429</v>
      </c>
      <c r="D38" s="328" t="s">
        <v>338</v>
      </c>
      <c r="E38" s="328" t="s">
        <v>345</v>
      </c>
      <c r="F38" s="240">
        <v>703160</v>
      </c>
      <c r="G38" s="240">
        <v>816252</v>
      </c>
      <c r="H38" s="240">
        <v>73204</v>
      </c>
      <c r="I38" s="283"/>
      <c r="J38" s="285">
        <v>0.1</v>
      </c>
      <c r="K38" s="284">
        <v>1592617</v>
      </c>
      <c r="L38" s="240">
        <v>128390844</v>
      </c>
      <c r="M38" s="240">
        <v>404231244</v>
      </c>
      <c r="N38" s="240">
        <v>97404289</v>
      </c>
      <c r="O38" s="240">
        <v>112979313</v>
      </c>
      <c r="P38" s="240">
        <v>225795133</v>
      </c>
      <c r="Q38" s="240">
        <v>1220891</v>
      </c>
      <c r="R38" s="240">
        <v>517210557</v>
      </c>
      <c r="S38" s="240">
        <v>53596686</v>
      </c>
      <c r="T38" s="283"/>
      <c r="U38" s="288">
        <v>22</v>
      </c>
      <c r="V38" s="284">
        <v>797823268</v>
      </c>
      <c r="W38" s="240">
        <v>799415886</v>
      </c>
      <c r="X38" s="240">
        <v>161195773</v>
      </c>
      <c r="Y38" s="290">
        <v>20.16</v>
      </c>
      <c r="Z38" s="5" t="s">
        <v>365</v>
      </c>
      <c r="AA38" s="240">
        <v>8527</v>
      </c>
      <c r="AB38" s="4" t="s">
        <v>444</v>
      </c>
      <c r="AC38" s="240">
        <v>69</v>
      </c>
      <c r="AD38" s="4"/>
      <c r="AE38" s="240"/>
      <c r="AF38" s="4"/>
      <c r="AG38" s="240"/>
      <c r="AH38" s="240">
        <v>93751</v>
      </c>
      <c r="AI38" s="240">
        <v>11585737</v>
      </c>
      <c r="AJ38" s="240" t="s">
        <v>440</v>
      </c>
      <c r="AK38" s="240" t="s">
        <v>440</v>
      </c>
      <c r="AL38" s="240">
        <v>6</v>
      </c>
      <c r="AM38" s="240">
        <v>2184196</v>
      </c>
      <c r="AN38" s="240">
        <v>36172664</v>
      </c>
      <c r="AO38" s="240"/>
      <c r="AP38" s="292"/>
      <c r="AQ38" s="302">
        <v>28.49</v>
      </c>
      <c r="AR38" s="537" t="s">
        <v>149</v>
      </c>
    </row>
    <row r="39" spans="1:44" ht="22.5" customHeight="1" x14ac:dyDescent="0.15">
      <c r="A39">
        <v>34</v>
      </c>
      <c r="B39" s="328" t="s">
        <v>102</v>
      </c>
      <c r="C39" s="327" t="s">
        <v>431</v>
      </c>
      <c r="D39" s="328" t="s">
        <v>338</v>
      </c>
      <c r="E39" s="328" t="s">
        <v>345</v>
      </c>
      <c r="F39" s="240"/>
      <c r="G39" s="240"/>
      <c r="H39" s="240"/>
      <c r="I39" s="283"/>
      <c r="J39" s="286"/>
      <c r="K39" s="284"/>
      <c r="L39" s="240">
        <v>1570480433</v>
      </c>
      <c r="M39" s="240">
        <v>3971466484</v>
      </c>
      <c r="N39" s="240">
        <v>1228176470</v>
      </c>
      <c r="O39" s="240">
        <v>871225290</v>
      </c>
      <c r="P39" s="240">
        <v>2798656903</v>
      </c>
      <c r="Q39" s="240">
        <v>-2837823</v>
      </c>
      <c r="R39" s="240">
        <v>4842691774</v>
      </c>
      <c r="S39" s="240">
        <v>1653027010</v>
      </c>
      <c r="T39" s="283">
        <v>553728</v>
      </c>
      <c r="U39" s="296">
        <v>302</v>
      </c>
      <c r="V39" s="284">
        <v>9292091591</v>
      </c>
      <c r="W39" s="240">
        <v>9292091591</v>
      </c>
      <c r="X39" s="240">
        <v>1454153222</v>
      </c>
      <c r="Y39" s="290">
        <v>15.65</v>
      </c>
      <c r="Z39" s="5" t="s">
        <v>445</v>
      </c>
      <c r="AA39" s="240">
        <v>5174208</v>
      </c>
      <c r="AB39" s="4" t="s">
        <v>446</v>
      </c>
      <c r="AC39" s="240">
        <v>338</v>
      </c>
      <c r="AD39" s="4"/>
      <c r="AE39" s="240"/>
      <c r="AF39" s="4"/>
      <c r="AG39" s="240"/>
      <c r="AH39" s="240">
        <v>1795</v>
      </c>
      <c r="AI39" s="240">
        <v>27491395</v>
      </c>
      <c r="AJ39" s="240" t="s">
        <v>440</v>
      </c>
      <c r="AK39" s="240" t="s">
        <v>440</v>
      </c>
      <c r="AL39" s="240">
        <v>73</v>
      </c>
      <c r="AM39" s="240">
        <v>25388228</v>
      </c>
      <c r="AN39" s="240">
        <v>30768515</v>
      </c>
      <c r="AO39" s="298"/>
      <c r="AP39" s="292"/>
      <c r="AQ39" s="302">
        <v>30.09</v>
      </c>
      <c r="AR39" s="537" t="s">
        <v>149</v>
      </c>
    </row>
    <row r="40" spans="1:44" ht="22.5" customHeight="1" x14ac:dyDescent="0.15">
      <c r="A40">
        <v>35</v>
      </c>
      <c r="B40" s="328" t="s">
        <v>102</v>
      </c>
      <c r="C40" s="327" t="s">
        <v>435</v>
      </c>
      <c r="D40" s="328" t="s">
        <v>338</v>
      </c>
      <c r="E40" s="328" t="s">
        <v>345</v>
      </c>
      <c r="F40" s="240"/>
      <c r="G40" s="240"/>
      <c r="H40" s="240"/>
      <c r="I40" s="283"/>
      <c r="J40" s="285"/>
      <c r="K40" s="284"/>
      <c r="L40" s="240">
        <v>239874710</v>
      </c>
      <c r="M40" s="240">
        <v>84460388</v>
      </c>
      <c r="N40" s="240"/>
      <c r="O40" s="240"/>
      <c r="P40" s="240">
        <v>239874710</v>
      </c>
      <c r="Q40" s="240">
        <v>2003021</v>
      </c>
      <c r="R40" s="240">
        <v>84460388</v>
      </c>
      <c r="S40" s="240">
        <v>40639916</v>
      </c>
      <c r="T40" s="283"/>
      <c r="U40" s="295">
        <v>20.100000000000001</v>
      </c>
      <c r="V40" s="284">
        <v>366978035</v>
      </c>
      <c r="W40" s="240">
        <v>366978035</v>
      </c>
      <c r="X40" s="240">
        <v>1906631</v>
      </c>
      <c r="Y40" s="290">
        <v>0.52</v>
      </c>
      <c r="Z40" s="293" t="s">
        <v>379</v>
      </c>
      <c r="AA40" s="240">
        <v>15</v>
      </c>
      <c r="AB40" s="4"/>
      <c r="AC40" s="240"/>
      <c r="AD40" s="4"/>
      <c r="AE40" s="240"/>
      <c r="AF40" s="4"/>
      <c r="AG40" s="240"/>
      <c r="AH40" s="240">
        <v>24465202</v>
      </c>
      <c r="AI40" s="240" t="s">
        <v>440</v>
      </c>
      <c r="AJ40" s="240" t="s">
        <v>440</v>
      </c>
      <c r="AK40" s="240" t="s">
        <v>440</v>
      </c>
      <c r="AL40" s="240">
        <v>2</v>
      </c>
      <c r="AM40" s="240">
        <v>1002672</v>
      </c>
      <c r="AN40" s="240">
        <v>18257613</v>
      </c>
      <c r="AO40" s="240"/>
      <c r="AP40" s="292"/>
      <c r="AQ40" s="302">
        <v>65.91</v>
      </c>
      <c r="AR40" s="537" t="s">
        <v>149</v>
      </c>
    </row>
    <row r="41" spans="1:44" s="482" customFormat="1" ht="22.5" customHeight="1" x14ac:dyDescent="0.15">
      <c r="A41">
        <v>36</v>
      </c>
      <c r="B41" s="328" t="s">
        <v>102</v>
      </c>
      <c r="C41" s="327" t="s">
        <v>436</v>
      </c>
      <c r="D41" s="328" t="s">
        <v>338</v>
      </c>
      <c r="E41" s="328" t="s">
        <v>345</v>
      </c>
      <c r="F41" s="240"/>
      <c r="G41" s="240"/>
      <c r="H41" s="240"/>
      <c r="I41" s="283"/>
      <c r="J41" s="285"/>
      <c r="K41" s="284"/>
      <c r="L41" s="240">
        <v>123629559</v>
      </c>
      <c r="M41" s="240">
        <v>74886999</v>
      </c>
      <c r="N41" s="240"/>
      <c r="O41" s="240"/>
      <c r="P41" s="240">
        <v>123629559</v>
      </c>
      <c r="Q41" s="240">
        <v>1540614</v>
      </c>
      <c r="R41" s="240">
        <v>74886999</v>
      </c>
      <c r="S41" s="240">
        <v>26082334</v>
      </c>
      <c r="T41" s="283"/>
      <c r="U41" s="288">
        <v>12.9</v>
      </c>
      <c r="V41" s="284">
        <v>226139506</v>
      </c>
      <c r="W41" s="240">
        <v>226139506</v>
      </c>
      <c r="X41" s="240"/>
      <c r="Y41" s="290"/>
      <c r="Z41" s="5" t="s">
        <v>447</v>
      </c>
      <c r="AA41" s="240">
        <v>7</v>
      </c>
      <c r="AB41" s="4"/>
      <c r="AC41" s="240"/>
      <c r="AD41" s="4"/>
      <c r="AE41" s="240"/>
      <c r="AF41" s="4"/>
      <c r="AG41" s="240"/>
      <c r="AH41" s="240">
        <v>32305643</v>
      </c>
      <c r="AI41" s="240" t="s">
        <v>440</v>
      </c>
      <c r="AJ41" s="240" t="s">
        <v>440</v>
      </c>
      <c r="AK41" s="240" t="s">
        <v>440</v>
      </c>
      <c r="AL41" s="240">
        <v>1</v>
      </c>
      <c r="AM41" s="240">
        <v>617867</v>
      </c>
      <c r="AN41" s="240">
        <v>17530194</v>
      </c>
      <c r="AO41" s="240"/>
      <c r="AP41" s="292"/>
      <c r="AQ41" s="302">
        <v>55.35</v>
      </c>
      <c r="AR41" s="537" t="s">
        <v>149</v>
      </c>
    </row>
    <row r="42" spans="1:44" ht="22.5" customHeight="1" x14ac:dyDescent="0.15">
      <c r="A42">
        <v>37</v>
      </c>
      <c r="B42" s="328" t="s">
        <v>102</v>
      </c>
      <c r="C42" s="327" t="s">
        <v>432</v>
      </c>
      <c r="D42" s="328" t="s">
        <v>338</v>
      </c>
      <c r="E42" s="328" t="s">
        <v>345</v>
      </c>
      <c r="F42" s="240"/>
      <c r="G42" s="240"/>
      <c r="H42" s="240"/>
      <c r="I42" s="283"/>
      <c r="J42" s="285"/>
      <c r="K42" s="284"/>
      <c r="L42" s="240">
        <v>2394647</v>
      </c>
      <c r="M42" s="240">
        <v>14141650</v>
      </c>
      <c r="N42" s="240">
        <v>1538973</v>
      </c>
      <c r="O42" s="240">
        <v>1418570</v>
      </c>
      <c r="P42" s="240">
        <v>3933621</v>
      </c>
      <c r="Q42" s="240"/>
      <c r="R42" s="240">
        <v>15560220</v>
      </c>
      <c r="S42" s="240"/>
      <c r="T42" s="283"/>
      <c r="U42" s="288">
        <v>0.4</v>
      </c>
      <c r="V42" s="284">
        <v>19493841</v>
      </c>
      <c r="W42" s="240">
        <v>19493841</v>
      </c>
      <c r="X42" s="240"/>
      <c r="Y42" s="290"/>
      <c r="Z42" s="293" t="s">
        <v>366</v>
      </c>
      <c r="AA42" s="240">
        <v>2</v>
      </c>
      <c r="AB42" s="4"/>
      <c r="AC42" s="240"/>
      <c r="AD42" s="4"/>
      <c r="AE42" s="240"/>
      <c r="AF42" s="4"/>
      <c r="AG42" s="240"/>
      <c r="AH42" s="240">
        <v>9746920</v>
      </c>
      <c r="AI42" s="240" t="s">
        <v>440</v>
      </c>
      <c r="AJ42" s="240" t="s">
        <v>440</v>
      </c>
      <c r="AK42" s="240" t="s">
        <v>440</v>
      </c>
      <c r="AL42" s="310">
        <v>0.1</v>
      </c>
      <c r="AM42" s="240">
        <v>53261</v>
      </c>
      <c r="AN42" s="240"/>
      <c r="AO42" s="240"/>
      <c r="AP42" s="292"/>
      <c r="AQ42" s="302">
        <v>20.18</v>
      </c>
      <c r="AR42" s="537" t="s">
        <v>149</v>
      </c>
    </row>
    <row r="43" spans="1:44" ht="22.5" customHeight="1" x14ac:dyDescent="0.15">
      <c r="A43">
        <v>38</v>
      </c>
      <c r="B43" s="351" t="s">
        <v>102</v>
      </c>
      <c r="C43" s="351" t="s">
        <v>433</v>
      </c>
      <c r="D43" s="351" t="s">
        <v>338</v>
      </c>
      <c r="E43" s="351" t="s">
        <v>345</v>
      </c>
      <c r="F43" s="298">
        <v>196884983</v>
      </c>
      <c r="G43" s="298">
        <v>280021119</v>
      </c>
      <c r="H43" s="298">
        <v>19582637</v>
      </c>
      <c r="I43" s="483"/>
      <c r="J43" s="484">
        <v>28</v>
      </c>
      <c r="K43" s="485">
        <v>496488740</v>
      </c>
      <c r="L43" s="298">
        <v>1483641796260</v>
      </c>
      <c r="M43" s="298">
        <v>1498886555823</v>
      </c>
      <c r="N43" s="298"/>
      <c r="O43" s="298">
        <v>121006633173</v>
      </c>
      <c r="P43" s="298">
        <v>1483641796260</v>
      </c>
      <c r="Q43" s="298">
        <v>357699924</v>
      </c>
      <c r="R43" s="298">
        <v>1619893188996</v>
      </c>
      <c r="S43" s="298">
        <v>147715211006</v>
      </c>
      <c r="T43" s="483">
        <v>17242643284</v>
      </c>
      <c r="U43" s="285">
        <v>274433</v>
      </c>
      <c r="V43" s="485">
        <v>3268850539470</v>
      </c>
      <c r="W43" s="298">
        <v>3269347028210</v>
      </c>
      <c r="X43" s="298">
        <v>1797839103284</v>
      </c>
      <c r="Y43" s="487">
        <v>54.99</v>
      </c>
      <c r="Z43" s="488"/>
      <c r="AA43" s="298"/>
      <c r="AB43" s="489"/>
      <c r="AC43" s="298"/>
      <c r="AD43" s="489"/>
      <c r="AE43" s="298"/>
      <c r="AF43" s="489"/>
      <c r="AG43" s="298"/>
      <c r="AH43" s="298" t="s">
        <v>440</v>
      </c>
      <c r="AI43" s="298" t="s">
        <v>440</v>
      </c>
      <c r="AJ43" s="298" t="s">
        <v>440</v>
      </c>
      <c r="AK43" s="298" t="s">
        <v>440</v>
      </c>
      <c r="AL43" s="298">
        <v>25723</v>
      </c>
      <c r="AM43" s="298">
        <v>8932642153</v>
      </c>
      <c r="AN43" s="298">
        <v>11911881</v>
      </c>
      <c r="AO43" s="298"/>
      <c r="AP43" s="490"/>
      <c r="AQ43" s="493">
        <v>45.4</v>
      </c>
      <c r="AR43" s="491" t="s">
        <v>149</v>
      </c>
    </row>
    <row r="44" spans="1:44" ht="22.5" customHeight="1" x14ac:dyDescent="0.15">
      <c r="A44">
        <v>39</v>
      </c>
      <c r="B44" s="328" t="s">
        <v>102</v>
      </c>
      <c r="C44" s="327" t="s">
        <v>438</v>
      </c>
      <c r="D44" s="328" t="s">
        <v>338</v>
      </c>
      <c r="E44" s="328" t="s">
        <v>345</v>
      </c>
      <c r="F44" s="240">
        <v>421896</v>
      </c>
      <c r="G44" s="240">
        <v>602499</v>
      </c>
      <c r="H44" s="240">
        <v>54644</v>
      </c>
      <c r="I44" s="283"/>
      <c r="J44" s="287">
        <v>0.06</v>
      </c>
      <c r="K44" s="284">
        <v>1079040</v>
      </c>
      <c r="L44" s="240">
        <v>329321420</v>
      </c>
      <c r="M44" s="240">
        <v>5796731262</v>
      </c>
      <c r="N44" s="240">
        <v>18857945</v>
      </c>
      <c r="O44" s="240">
        <v>27233155</v>
      </c>
      <c r="P44" s="240">
        <v>348179365</v>
      </c>
      <c r="Q44" s="240"/>
      <c r="R44" s="240">
        <v>5823964417</v>
      </c>
      <c r="S44" s="240">
        <v>164404999</v>
      </c>
      <c r="T44" s="283"/>
      <c r="U44" s="288">
        <v>36.700000000000003</v>
      </c>
      <c r="V44" s="284">
        <v>6336548782</v>
      </c>
      <c r="W44" s="240">
        <v>6337627822</v>
      </c>
      <c r="X44" s="240"/>
      <c r="Y44" s="290"/>
      <c r="Z44" s="495" t="s">
        <v>477</v>
      </c>
      <c r="AA44" s="240">
        <v>1079</v>
      </c>
      <c r="AB44" s="498" t="s">
        <v>478</v>
      </c>
      <c r="AC44" s="240">
        <v>6483</v>
      </c>
      <c r="AD44" s="4"/>
      <c r="AE44" s="240"/>
      <c r="AF44" s="4"/>
      <c r="AG44" s="240"/>
      <c r="AH44" s="240">
        <v>5873612</v>
      </c>
      <c r="AI44" s="240">
        <v>977576</v>
      </c>
      <c r="AJ44" s="240" t="s">
        <v>440</v>
      </c>
      <c r="AK44" s="240" t="s">
        <v>440</v>
      </c>
      <c r="AL44" s="240">
        <v>49</v>
      </c>
      <c r="AM44" s="240">
        <v>17315923</v>
      </c>
      <c r="AN44" s="240">
        <v>172405544</v>
      </c>
      <c r="AO44" s="240"/>
      <c r="AP44" s="292"/>
      <c r="AQ44" s="302">
        <v>5.5</v>
      </c>
      <c r="AR44" s="537" t="s">
        <v>149</v>
      </c>
    </row>
    <row r="45" spans="1:44" ht="22.5" customHeight="1" x14ac:dyDescent="0.15">
      <c r="A45">
        <v>40</v>
      </c>
      <c r="B45" s="328" t="s">
        <v>102</v>
      </c>
      <c r="C45" s="327" t="s">
        <v>462</v>
      </c>
      <c r="D45" s="328" t="s">
        <v>338</v>
      </c>
      <c r="E45" s="328" t="s">
        <v>345</v>
      </c>
      <c r="F45" s="240">
        <v>632844</v>
      </c>
      <c r="G45" s="240">
        <v>903749</v>
      </c>
      <c r="H45" s="240">
        <v>81966</v>
      </c>
      <c r="I45" s="283"/>
      <c r="J45" s="287">
        <v>0.09</v>
      </c>
      <c r="K45" s="284">
        <v>1618560</v>
      </c>
      <c r="L45" s="240"/>
      <c r="M45" s="240">
        <v>10310109527</v>
      </c>
      <c r="N45" s="240"/>
      <c r="O45" s="240"/>
      <c r="P45" s="240"/>
      <c r="Q45" s="240"/>
      <c r="R45" s="240">
        <v>10310109527</v>
      </c>
      <c r="S45" s="240"/>
      <c r="T45" s="283"/>
      <c r="U45" s="288"/>
      <c r="V45" s="284">
        <v>10310109527</v>
      </c>
      <c r="W45" s="240">
        <v>10311728087</v>
      </c>
      <c r="X45" s="240">
        <v>318657684</v>
      </c>
      <c r="Y45" s="290">
        <v>3.09</v>
      </c>
      <c r="Z45" s="5" t="s">
        <v>477</v>
      </c>
      <c r="AA45" s="240">
        <v>15281</v>
      </c>
      <c r="AB45" s="498" t="s">
        <v>478</v>
      </c>
      <c r="AC45" s="240">
        <v>4805</v>
      </c>
      <c r="AD45" s="4"/>
      <c r="AE45" s="240"/>
      <c r="AF45" s="4"/>
      <c r="AG45" s="240"/>
      <c r="AH45" s="240">
        <v>674807</v>
      </c>
      <c r="AI45" s="240">
        <v>2146041</v>
      </c>
      <c r="AJ45" s="240" t="s">
        <v>440</v>
      </c>
      <c r="AK45" s="240" t="s">
        <v>440</v>
      </c>
      <c r="AL45" s="240">
        <v>81</v>
      </c>
      <c r="AM45" s="240">
        <v>28174120</v>
      </c>
      <c r="AN45" s="240"/>
      <c r="AO45" s="240"/>
      <c r="AP45" s="292"/>
      <c r="AQ45" s="302">
        <v>0.01</v>
      </c>
      <c r="AR45" s="537" t="s">
        <v>149</v>
      </c>
    </row>
    <row r="46" spans="1:44" ht="22.5" customHeight="1" x14ac:dyDescent="0.15">
      <c r="A46">
        <v>41</v>
      </c>
      <c r="B46" s="328" t="s">
        <v>102</v>
      </c>
      <c r="C46" s="327" t="s">
        <v>352</v>
      </c>
      <c r="D46" s="328" t="s">
        <v>338</v>
      </c>
      <c r="E46" s="328" t="s">
        <v>345</v>
      </c>
      <c r="F46" s="240">
        <v>1406321</v>
      </c>
      <c r="G46" s="240">
        <v>1366206</v>
      </c>
      <c r="H46" s="240">
        <v>133447</v>
      </c>
      <c r="I46" s="283"/>
      <c r="J46" s="285">
        <v>0.2</v>
      </c>
      <c r="K46" s="284">
        <v>2905975</v>
      </c>
      <c r="L46" s="240">
        <v>313141024</v>
      </c>
      <c r="M46" s="240">
        <v>1637399659</v>
      </c>
      <c r="N46" s="240">
        <v>155657170</v>
      </c>
      <c r="O46" s="240">
        <v>359834805</v>
      </c>
      <c r="P46" s="240">
        <v>468798194</v>
      </c>
      <c r="Q46" s="240">
        <v>255060</v>
      </c>
      <c r="R46" s="240">
        <v>1997234464</v>
      </c>
      <c r="S46" s="240">
        <v>648815660</v>
      </c>
      <c r="T46" s="283">
        <v>34234997</v>
      </c>
      <c r="U46" s="288">
        <v>33.6</v>
      </c>
      <c r="V46" s="284">
        <v>3149338377</v>
      </c>
      <c r="W46" s="240">
        <v>3152244352</v>
      </c>
      <c r="X46" s="240">
        <v>1078014932</v>
      </c>
      <c r="Y46" s="290">
        <v>34.200000000000003</v>
      </c>
      <c r="Z46" s="291" t="s">
        <v>448</v>
      </c>
      <c r="AA46" s="240">
        <v>2771150</v>
      </c>
      <c r="AB46" s="4" t="s">
        <v>449</v>
      </c>
      <c r="AC46" s="240">
        <v>3358</v>
      </c>
      <c r="AD46" s="4"/>
      <c r="AE46" s="240"/>
      <c r="AF46" s="4"/>
      <c r="AG46" s="240"/>
      <c r="AH46" s="240">
        <v>1137</v>
      </c>
      <c r="AI46" s="240">
        <v>938726</v>
      </c>
      <c r="AJ46" s="240" t="s">
        <v>440</v>
      </c>
      <c r="AK46" s="240" t="s">
        <v>440</v>
      </c>
      <c r="AL46" s="240">
        <v>24</v>
      </c>
      <c r="AM46" s="240">
        <v>8612689</v>
      </c>
      <c r="AN46" s="240">
        <v>93261667</v>
      </c>
      <c r="AO46" s="240"/>
      <c r="AP46" s="292"/>
      <c r="AQ46" s="302">
        <v>14.92</v>
      </c>
      <c r="AR46" s="537" t="s">
        <v>149</v>
      </c>
    </row>
    <row r="47" spans="1:44" ht="22.5" customHeight="1" x14ac:dyDescent="0.15">
      <c r="A47">
        <v>42</v>
      </c>
      <c r="B47" s="328" t="s">
        <v>102</v>
      </c>
      <c r="C47" s="327" t="s">
        <v>353</v>
      </c>
      <c r="D47" s="328" t="s">
        <v>338</v>
      </c>
      <c r="E47" s="328" t="s">
        <v>345</v>
      </c>
      <c r="F47" s="240">
        <v>2812642</v>
      </c>
      <c r="G47" s="240">
        <v>2732412</v>
      </c>
      <c r="H47" s="240">
        <v>266895</v>
      </c>
      <c r="I47" s="283"/>
      <c r="J47" s="285">
        <v>0.4</v>
      </c>
      <c r="K47" s="284">
        <v>5811950</v>
      </c>
      <c r="L47" s="240">
        <v>866659745</v>
      </c>
      <c r="M47" s="240">
        <v>2162221059</v>
      </c>
      <c r="N47" s="240">
        <v>207967929</v>
      </c>
      <c r="O47" s="240">
        <v>297619586</v>
      </c>
      <c r="P47" s="240">
        <v>1074627675</v>
      </c>
      <c r="Q47" s="240">
        <v>3310331</v>
      </c>
      <c r="R47" s="240">
        <v>2459840645</v>
      </c>
      <c r="S47" s="240">
        <v>970231058</v>
      </c>
      <c r="T47" s="283">
        <v>6710764</v>
      </c>
      <c r="U47" s="288">
        <v>77</v>
      </c>
      <c r="V47" s="284">
        <v>4514720474</v>
      </c>
      <c r="W47" s="240">
        <v>4520532425</v>
      </c>
      <c r="X47" s="240">
        <v>1441546148</v>
      </c>
      <c r="Y47" s="290">
        <v>31.89</v>
      </c>
      <c r="Z47" s="5" t="s">
        <v>448</v>
      </c>
      <c r="AA47" s="240">
        <v>4146847</v>
      </c>
      <c r="AB47" s="4" t="s">
        <v>367</v>
      </c>
      <c r="AC47" s="240">
        <v>337</v>
      </c>
      <c r="AD47" s="4"/>
      <c r="AE47" s="240"/>
      <c r="AF47" s="4"/>
      <c r="AG47" s="240"/>
      <c r="AH47" s="240">
        <v>1090</v>
      </c>
      <c r="AI47" s="240">
        <v>13414042</v>
      </c>
      <c r="AJ47" s="240" t="s">
        <v>440</v>
      </c>
      <c r="AK47" s="240" t="s">
        <v>440</v>
      </c>
      <c r="AL47" s="240">
        <v>35</v>
      </c>
      <c r="AM47" s="240">
        <v>12351181</v>
      </c>
      <c r="AN47" s="240">
        <v>58404811</v>
      </c>
      <c r="AO47" s="240"/>
      <c r="AP47" s="292"/>
      <c r="AQ47" s="302">
        <v>23.91</v>
      </c>
      <c r="AR47" s="537" t="s">
        <v>149</v>
      </c>
    </row>
    <row r="48" spans="1:44" ht="22.5" customHeight="1" x14ac:dyDescent="0.15">
      <c r="A48">
        <v>43</v>
      </c>
      <c r="B48" s="323" t="s">
        <v>102</v>
      </c>
      <c r="C48" s="324" t="s">
        <v>103</v>
      </c>
      <c r="D48" s="325" t="s">
        <v>87</v>
      </c>
      <c r="E48" s="326" t="s">
        <v>38</v>
      </c>
      <c r="F48" s="240">
        <v>14063213</v>
      </c>
      <c r="G48" s="240">
        <v>19688030</v>
      </c>
      <c r="H48" s="240">
        <v>1366291</v>
      </c>
      <c r="I48" s="283"/>
      <c r="J48" s="285">
        <v>2</v>
      </c>
      <c r="K48" s="284">
        <v>35117534</v>
      </c>
      <c r="L48" s="240">
        <v>2081926792</v>
      </c>
      <c r="M48" s="240">
        <v>78834002529</v>
      </c>
      <c r="N48" s="240">
        <v>584720115</v>
      </c>
      <c r="O48" s="240">
        <v>573335748</v>
      </c>
      <c r="P48" s="240">
        <v>2666646907</v>
      </c>
      <c r="Q48" s="240">
        <v>3013090</v>
      </c>
      <c r="R48" s="240">
        <v>79407338277</v>
      </c>
      <c r="S48" s="240"/>
      <c r="T48" s="283">
        <v>21960</v>
      </c>
      <c r="U48" s="288">
        <v>292</v>
      </c>
      <c r="V48" s="284">
        <v>82077020235</v>
      </c>
      <c r="W48" s="240">
        <v>82112137769</v>
      </c>
      <c r="X48" s="240">
        <v>46332664237</v>
      </c>
      <c r="Y48" s="290">
        <v>56.43</v>
      </c>
      <c r="Z48" s="5" t="s">
        <v>242</v>
      </c>
      <c r="AA48" s="240">
        <v>5533122</v>
      </c>
      <c r="AB48" s="4"/>
      <c r="AC48" s="240"/>
      <c r="AD48" s="4"/>
      <c r="AE48" s="240"/>
      <c r="AF48" s="4"/>
      <c r="AG48" s="240"/>
      <c r="AH48" s="240">
        <v>14840</v>
      </c>
      <c r="AI48" s="240"/>
      <c r="AJ48" s="240"/>
      <c r="AK48" s="240"/>
      <c r="AL48" s="240">
        <v>646</v>
      </c>
      <c r="AM48" s="240">
        <v>224350103</v>
      </c>
      <c r="AN48" s="240">
        <v>279292985</v>
      </c>
      <c r="AO48" s="240">
        <v>1808569979516</v>
      </c>
      <c r="AP48" s="292">
        <v>4.54</v>
      </c>
      <c r="AQ48" s="302">
        <v>3.27</v>
      </c>
      <c r="AR48" s="537" t="s">
        <v>151</v>
      </c>
    </row>
    <row r="49" spans="1:44" ht="22.5" customHeight="1" x14ac:dyDescent="0.15">
      <c r="A49">
        <v>44</v>
      </c>
      <c r="B49" s="323" t="s">
        <v>104</v>
      </c>
      <c r="C49" s="324" t="s">
        <v>105</v>
      </c>
      <c r="D49" s="325" t="s">
        <v>35</v>
      </c>
      <c r="E49" s="326" t="s">
        <v>36</v>
      </c>
      <c r="F49" s="240">
        <v>1965334030</v>
      </c>
      <c r="G49" s="240">
        <v>31474866</v>
      </c>
      <c r="H49" s="240">
        <v>60632100</v>
      </c>
      <c r="I49" s="283">
        <v>613893101</v>
      </c>
      <c r="J49" s="285">
        <v>279.5</v>
      </c>
      <c r="K49" s="284">
        <v>2671334098</v>
      </c>
      <c r="L49" s="240"/>
      <c r="M49" s="240"/>
      <c r="N49" s="240"/>
      <c r="O49" s="240"/>
      <c r="P49" s="240"/>
      <c r="Q49" s="240"/>
      <c r="R49" s="240"/>
      <c r="S49" s="240"/>
      <c r="T49" s="283"/>
      <c r="U49" s="288"/>
      <c r="V49" s="284"/>
      <c r="W49" s="240">
        <v>2671334098</v>
      </c>
      <c r="X49" s="240">
        <v>199973595</v>
      </c>
      <c r="Y49" s="290">
        <v>7.49</v>
      </c>
      <c r="Z49" s="297" t="s">
        <v>243</v>
      </c>
      <c r="AA49" s="240">
        <v>43907442</v>
      </c>
      <c r="AB49" s="4"/>
      <c r="AC49" s="240"/>
      <c r="AD49" s="4"/>
      <c r="AE49" s="240"/>
      <c r="AF49" s="4"/>
      <c r="AG49" s="240"/>
      <c r="AH49" s="240">
        <v>60</v>
      </c>
      <c r="AI49" s="240"/>
      <c r="AJ49" s="240"/>
      <c r="AK49" s="240"/>
      <c r="AL49" s="240">
        <v>21</v>
      </c>
      <c r="AM49" s="240">
        <v>7298727</v>
      </c>
      <c r="AN49" s="240">
        <v>9557545</v>
      </c>
      <c r="AO49" s="240"/>
      <c r="AP49" s="292" t="s">
        <v>440</v>
      </c>
      <c r="AQ49" s="302">
        <v>73.569999999999993</v>
      </c>
      <c r="AR49" s="537" t="s">
        <v>148</v>
      </c>
    </row>
    <row r="50" spans="1:44" ht="22.5" customHeight="1" x14ac:dyDescent="0.15">
      <c r="A50">
        <v>45</v>
      </c>
      <c r="B50" s="328" t="s">
        <v>104</v>
      </c>
      <c r="C50" s="327" t="s">
        <v>351</v>
      </c>
      <c r="D50" s="328" t="s">
        <v>338</v>
      </c>
      <c r="E50" s="328" t="s">
        <v>339</v>
      </c>
      <c r="F50" s="240">
        <v>37267514</v>
      </c>
      <c r="G50" s="240">
        <v>3631955</v>
      </c>
      <c r="H50" s="240">
        <v>6996387</v>
      </c>
      <c r="I50" s="283">
        <v>91382360</v>
      </c>
      <c r="J50" s="285">
        <v>5.3</v>
      </c>
      <c r="K50" s="284">
        <v>139278216</v>
      </c>
      <c r="L50" s="240"/>
      <c r="M50" s="240"/>
      <c r="N50" s="240"/>
      <c r="O50" s="240"/>
      <c r="P50" s="240"/>
      <c r="Q50" s="240"/>
      <c r="R50" s="240"/>
      <c r="S50" s="240"/>
      <c r="T50" s="283"/>
      <c r="U50" s="288"/>
      <c r="V50" s="284"/>
      <c r="W50" s="240">
        <v>139278216</v>
      </c>
      <c r="X50" s="240">
        <v>113274400</v>
      </c>
      <c r="Y50" s="290">
        <v>81.33</v>
      </c>
      <c r="Z50" s="327" t="s">
        <v>486</v>
      </c>
      <c r="AA50" s="240">
        <v>16658</v>
      </c>
      <c r="AB50" s="4" t="s">
        <v>374</v>
      </c>
      <c r="AC50" s="240">
        <v>14949</v>
      </c>
      <c r="AD50" s="4"/>
      <c r="AE50" s="240"/>
      <c r="AF50" s="4"/>
      <c r="AG50" s="240"/>
      <c r="AH50" s="240">
        <v>8361</v>
      </c>
      <c r="AI50" s="240">
        <v>9316</v>
      </c>
      <c r="AJ50" s="240" t="s">
        <v>440</v>
      </c>
      <c r="AK50" s="240" t="s">
        <v>440</v>
      </c>
      <c r="AL50" s="240">
        <v>1</v>
      </c>
      <c r="AM50" s="240">
        <v>380541</v>
      </c>
      <c r="AN50" s="240">
        <v>26278908</v>
      </c>
      <c r="AO50" s="240"/>
      <c r="AP50" s="292"/>
      <c r="AQ50" s="302">
        <v>26.76</v>
      </c>
      <c r="AR50" s="537" t="s">
        <v>148</v>
      </c>
    </row>
    <row r="51" spans="1:44" ht="22.5" customHeight="1" x14ac:dyDescent="0.15">
      <c r="A51">
        <v>46</v>
      </c>
      <c r="B51" s="323" t="s">
        <v>104</v>
      </c>
      <c r="C51" s="324" t="s">
        <v>225</v>
      </c>
      <c r="D51" s="325" t="s">
        <v>35</v>
      </c>
      <c r="E51" s="326" t="s">
        <v>36</v>
      </c>
      <c r="F51" s="240">
        <v>1406321</v>
      </c>
      <c r="G51" s="240">
        <v>184050</v>
      </c>
      <c r="H51" s="240">
        <v>354544</v>
      </c>
      <c r="I51" s="283">
        <v>55262644</v>
      </c>
      <c r="J51" s="285">
        <v>0.2</v>
      </c>
      <c r="K51" s="284">
        <v>57207561</v>
      </c>
      <c r="L51" s="240"/>
      <c r="M51" s="240"/>
      <c r="N51" s="240"/>
      <c r="O51" s="240"/>
      <c r="P51" s="240"/>
      <c r="Q51" s="240"/>
      <c r="R51" s="240"/>
      <c r="S51" s="240"/>
      <c r="T51" s="283"/>
      <c r="U51" s="288"/>
      <c r="V51" s="284"/>
      <c r="W51" s="240">
        <v>57207561</v>
      </c>
      <c r="X51" s="240"/>
      <c r="Y51" s="290" t="s">
        <v>440</v>
      </c>
      <c r="Z51" s="293" t="s">
        <v>244</v>
      </c>
      <c r="AA51" s="240">
        <v>7774</v>
      </c>
      <c r="AB51" s="299"/>
      <c r="AC51" s="240"/>
      <c r="AD51" s="4"/>
      <c r="AE51" s="240"/>
      <c r="AF51" s="4"/>
      <c r="AG51" s="240"/>
      <c r="AH51" s="240">
        <v>7358</v>
      </c>
      <c r="AI51" s="240"/>
      <c r="AJ51" s="240"/>
      <c r="AK51" s="240"/>
      <c r="AL51" s="310">
        <v>0.4</v>
      </c>
      <c r="AM51" s="240">
        <v>156304</v>
      </c>
      <c r="AN51" s="240"/>
      <c r="AO51" s="240"/>
      <c r="AP51" s="292" t="s">
        <v>440</v>
      </c>
      <c r="AQ51" s="302">
        <v>2.46</v>
      </c>
      <c r="AR51" s="537" t="s">
        <v>148</v>
      </c>
    </row>
    <row r="52" spans="1:44" ht="22.5" customHeight="1" x14ac:dyDescent="0.15">
      <c r="A52">
        <v>47</v>
      </c>
      <c r="B52" s="323" t="s">
        <v>104</v>
      </c>
      <c r="C52" s="324" t="s">
        <v>193</v>
      </c>
      <c r="D52" s="325" t="s">
        <v>35</v>
      </c>
      <c r="E52" s="326" t="s">
        <v>38</v>
      </c>
      <c r="F52" s="240"/>
      <c r="G52" s="240"/>
      <c r="H52" s="240"/>
      <c r="I52" s="283"/>
      <c r="J52" s="285"/>
      <c r="K52" s="284"/>
      <c r="L52" s="240">
        <v>623422933</v>
      </c>
      <c r="M52" s="240">
        <v>235229998</v>
      </c>
      <c r="N52" s="240"/>
      <c r="O52" s="240"/>
      <c r="P52" s="240">
        <v>623422933</v>
      </c>
      <c r="Q52" s="240"/>
      <c r="R52" s="240">
        <v>235229998</v>
      </c>
      <c r="S52" s="240">
        <v>219579752</v>
      </c>
      <c r="T52" s="283"/>
      <c r="U52" s="288">
        <v>68</v>
      </c>
      <c r="V52" s="284">
        <v>1078232683</v>
      </c>
      <c r="W52" s="240">
        <v>1078232683</v>
      </c>
      <c r="X52" s="240">
        <v>295328613</v>
      </c>
      <c r="Y52" s="290">
        <v>27.39</v>
      </c>
      <c r="Z52" s="5" t="s">
        <v>245</v>
      </c>
      <c r="AA52" s="240">
        <v>436</v>
      </c>
      <c r="AB52" s="4"/>
      <c r="AC52" s="240"/>
      <c r="AD52" s="4"/>
      <c r="AE52" s="240"/>
      <c r="AF52" s="4"/>
      <c r="AG52" s="240"/>
      <c r="AH52" s="240">
        <v>2473010</v>
      </c>
      <c r="AI52" s="240"/>
      <c r="AJ52" s="240"/>
      <c r="AK52" s="240"/>
      <c r="AL52" s="240">
        <v>8</v>
      </c>
      <c r="AM52" s="240">
        <v>2945990</v>
      </c>
      <c r="AN52" s="240">
        <v>15856362</v>
      </c>
      <c r="AO52" s="240"/>
      <c r="AP52" s="292" t="s">
        <v>440</v>
      </c>
      <c r="AQ52" s="302">
        <v>57.82</v>
      </c>
      <c r="AR52" s="537" t="s">
        <v>149</v>
      </c>
    </row>
    <row r="53" spans="1:44" ht="22.5" customHeight="1" x14ac:dyDescent="0.15">
      <c r="A53">
        <v>48</v>
      </c>
      <c r="B53" s="323" t="s">
        <v>104</v>
      </c>
      <c r="C53" s="324" t="s">
        <v>108</v>
      </c>
      <c r="D53" s="325" t="s">
        <v>35</v>
      </c>
      <c r="E53" s="326" t="s">
        <v>38</v>
      </c>
      <c r="F53" s="240">
        <v>11250570</v>
      </c>
      <c r="G53" s="240">
        <v>1374333</v>
      </c>
      <c r="H53" s="240">
        <v>2647436</v>
      </c>
      <c r="I53" s="283"/>
      <c r="J53" s="287">
        <v>1.6</v>
      </c>
      <c r="K53" s="284">
        <v>15272341</v>
      </c>
      <c r="L53" s="240">
        <v>522227532</v>
      </c>
      <c r="M53" s="240">
        <v>970585315</v>
      </c>
      <c r="N53" s="240">
        <v>22249215</v>
      </c>
      <c r="O53" s="240">
        <v>15169250</v>
      </c>
      <c r="P53" s="240">
        <v>544476747</v>
      </c>
      <c r="Q53" s="240"/>
      <c r="R53" s="240">
        <v>985754565</v>
      </c>
      <c r="S53" s="240"/>
      <c r="T53" s="283"/>
      <c r="U53" s="288">
        <v>73</v>
      </c>
      <c r="V53" s="284">
        <v>1530231312</v>
      </c>
      <c r="W53" s="240">
        <v>1545503653</v>
      </c>
      <c r="X53" s="240">
        <v>1073652542</v>
      </c>
      <c r="Y53" s="290">
        <v>69.47</v>
      </c>
      <c r="Z53" s="293" t="s">
        <v>246</v>
      </c>
      <c r="AA53" s="240">
        <v>1234</v>
      </c>
      <c r="AB53" s="4"/>
      <c r="AC53" s="240"/>
      <c r="AD53" s="4"/>
      <c r="AE53" s="240"/>
      <c r="AF53" s="4"/>
      <c r="AG53" s="240"/>
      <c r="AH53" s="240">
        <v>1252434</v>
      </c>
      <c r="AI53" s="240"/>
      <c r="AJ53" s="240"/>
      <c r="AK53" s="240"/>
      <c r="AL53" s="240">
        <v>12</v>
      </c>
      <c r="AM53" s="240">
        <v>4222687</v>
      </c>
      <c r="AN53" s="240">
        <v>20717207</v>
      </c>
      <c r="AO53" s="240"/>
      <c r="AP53" s="292" t="s">
        <v>440</v>
      </c>
      <c r="AQ53" s="302">
        <v>35.96</v>
      </c>
      <c r="AR53" s="537" t="s">
        <v>149</v>
      </c>
    </row>
    <row r="54" spans="1:44" ht="22.5" customHeight="1" x14ac:dyDescent="0.15">
      <c r="A54">
        <v>49</v>
      </c>
      <c r="B54" s="323" t="s">
        <v>104</v>
      </c>
      <c r="C54" s="324" t="s">
        <v>106</v>
      </c>
      <c r="D54" s="325" t="s">
        <v>87</v>
      </c>
      <c r="E54" s="326" t="s">
        <v>36</v>
      </c>
      <c r="F54" s="240">
        <v>14435888241</v>
      </c>
      <c r="G54" s="240">
        <v>238775136</v>
      </c>
      <c r="H54" s="240">
        <v>1644028422</v>
      </c>
      <c r="I54" s="283">
        <v>18831324963</v>
      </c>
      <c r="J54" s="285">
        <v>2053</v>
      </c>
      <c r="K54" s="284">
        <v>35150016764</v>
      </c>
      <c r="L54" s="240"/>
      <c r="M54" s="240"/>
      <c r="N54" s="240"/>
      <c r="O54" s="240"/>
      <c r="P54" s="240"/>
      <c r="Q54" s="240"/>
      <c r="R54" s="240"/>
      <c r="S54" s="240"/>
      <c r="T54" s="283"/>
      <c r="U54" s="288"/>
      <c r="V54" s="284"/>
      <c r="W54" s="240">
        <v>35150016764</v>
      </c>
      <c r="X54" s="240"/>
      <c r="Y54" s="290" t="s">
        <v>440</v>
      </c>
      <c r="Z54" s="293" t="s">
        <v>247</v>
      </c>
      <c r="AA54" s="240">
        <v>5486221</v>
      </c>
      <c r="AB54" s="4"/>
      <c r="AC54" s="240"/>
      <c r="AD54" s="4"/>
      <c r="AE54" s="240"/>
      <c r="AF54" s="4"/>
      <c r="AG54" s="240"/>
      <c r="AH54" s="240">
        <v>6406</v>
      </c>
      <c r="AI54" s="240"/>
      <c r="AJ54" s="240"/>
      <c r="AK54" s="240"/>
      <c r="AL54" s="240">
        <v>276</v>
      </c>
      <c r="AM54" s="240">
        <v>96038297</v>
      </c>
      <c r="AN54" s="240">
        <v>17121294</v>
      </c>
      <c r="AO54" s="240">
        <v>737647655668</v>
      </c>
      <c r="AP54" s="292">
        <v>4.7699999999999996</v>
      </c>
      <c r="AQ54" s="302">
        <v>41.07</v>
      </c>
      <c r="AR54" s="537" t="s">
        <v>150</v>
      </c>
    </row>
    <row r="55" spans="1:44" ht="22.5" customHeight="1" x14ac:dyDescent="0.15">
      <c r="A55">
        <v>50</v>
      </c>
      <c r="B55" s="323" t="s">
        <v>104</v>
      </c>
      <c r="C55" s="324" t="s">
        <v>107</v>
      </c>
      <c r="D55" s="325" t="s">
        <v>87</v>
      </c>
      <c r="E55" s="326" t="s">
        <v>36</v>
      </c>
      <c r="F55" s="240">
        <v>15550397879</v>
      </c>
      <c r="G55" s="240">
        <v>686717600</v>
      </c>
      <c r="H55" s="240">
        <v>1220839713</v>
      </c>
      <c r="I55" s="283">
        <v>33009194917</v>
      </c>
      <c r="J55" s="285">
        <v>2211.5</v>
      </c>
      <c r="K55" s="284">
        <v>50467150110</v>
      </c>
      <c r="L55" s="240"/>
      <c r="M55" s="240"/>
      <c r="N55" s="240"/>
      <c r="O55" s="240"/>
      <c r="P55" s="240"/>
      <c r="Q55" s="240"/>
      <c r="R55" s="240"/>
      <c r="S55" s="240"/>
      <c r="T55" s="283"/>
      <c r="U55" s="288"/>
      <c r="V55" s="284"/>
      <c r="W55" s="240">
        <v>50467150110</v>
      </c>
      <c r="X55" s="240"/>
      <c r="Y55" s="290" t="s">
        <v>440</v>
      </c>
      <c r="Z55" s="293" t="s">
        <v>248</v>
      </c>
      <c r="AA55" s="240">
        <v>40854.296000000002</v>
      </c>
      <c r="AB55" s="4"/>
      <c r="AC55" s="240"/>
      <c r="AD55" s="4"/>
      <c r="AE55" s="240"/>
      <c r="AF55" s="4"/>
      <c r="AG55" s="240"/>
      <c r="AH55" s="240">
        <v>1235</v>
      </c>
      <c r="AI55" s="240"/>
      <c r="AJ55" s="240"/>
      <c r="AK55" s="240"/>
      <c r="AL55" s="240">
        <v>397</v>
      </c>
      <c r="AM55" s="240">
        <v>137888388</v>
      </c>
      <c r="AN55" s="240">
        <v>22820325</v>
      </c>
      <c r="AO55" s="240">
        <v>1496034095004</v>
      </c>
      <c r="AP55" s="292">
        <v>3.37</v>
      </c>
      <c r="AQ55" s="302">
        <v>30.81</v>
      </c>
      <c r="AR55" s="537" t="s">
        <v>150</v>
      </c>
    </row>
    <row r="56" spans="1:44" ht="22.5" customHeight="1" x14ac:dyDescent="0.15">
      <c r="A56">
        <v>51</v>
      </c>
      <c r="B56" s="323" t="s">
        <v>104</v>
      </c>
      <c r="C56" s="324" t="s">
        <v>192</v>
      </c>
      <c r="D56" s="325" t="s">
        <v>87</v>
      </c>
      <c r="E56" s="326" t="s">
        <v>36</v>
      </c>
      <c r="F56" s="240">
        <v>21094819</v>
      </c>
      <c r="G56" s="240">
        <v>2742479</v>
      </c>
      <c r="H56" s="240">
        <v>5282953</v>
      </c>
      <c r="I56" s="283">
        <v>11125945</v>
      </c>
      <c r="J56" s="285">
        <v>3</v>
      </c>
      <c r="K56" s="284">
        <v>40246198</v>
      </c>
      <c r="L56" s="240"/>
      <c r="M56" s="240"/>
      <c r="N56" s="240"/>
      <c r="O56" s="240"/>
      <c r="P56" s="240"/>
      <c r="Q56" s="240"/>
      <c r="R56" s="240"/>
      <c r="S56" s="240"/>
      <c r="T56" s="283"/>
      <c r="U56" s="288"/>
      <c r="V56" s="284"/>
      <c r="W56" s="240">
        <v>40246198</v>
      </c>
      <c r="X56" s="240"/>
      <c r="Y56" s="290" t="s">
        <v>440</v>
      </c>
      <c r="Z56" s="293" t="s">
        <v>249</v>
      </c>
      <c r="AA56" s="240">
        <v>2803500</v>
      </c>
      <c r="AB56" s="4"/>
      <c r="AC56" s="240"/>
      <c r="AD56" s="4"/>
      <c r="AE56" s="240"/>
      <c r="AF56" s="4"/>
      <c r="AG56" s="240"/>
      <c r="AH56" s="240">
        <v>14</v>
      </c>
      <c r="AI56" s="240"/>
      <c r="AJ56" s="240"/>
      <c r="AK56" s="240"/>
      <c r="AL56" s="310">
        <v>0.3</v>
      </c>
      <c r="AM56" s="240">
        <v>109962</v>
      </c>
      <c r="AN56" s="240">
        <v>13415399</v>
      </c>
      <c r="AO56" s="240">
        <v>114730271150</v>
      </c>
      <c r="AP56" s="292">
        <v>0.04</v>
      </c>
      <c r="AQ56" s="302">
        <v>52.41</v>
      </c>
      <c r="AR56" s="537" t="s">
        <v>150</v>
      </c>
    </row>
    <row r="57" spans="1:44" ht="22.5" customHeight="1" x14ac:dyDescent="0.15">
      <c r="A57">
        <v>52</v>
      </c>
      <c r="B57" s="323" t="s">
        <v>109</v>
      </c>
      <c r="C57" s="324" t="s">
        <v>194</v>
      </c>
      <c r="D57" s="325" t="s">
        <v>35</v>
      </c>
      <c r="E57" s="326" t="s">
        <v>36</v>
      </c>
      <c r="F57" s="240">
        <v>6328445892</v>
      </c>
      <c r="G57" s="240">
        <v>14235475225</v>
      </c>
      <c r="H57" s="240">
        <v>49180034</v>
      </c>
      <c r="I57" s="283">
        <v>1037941376</v>
      </c>
      <c r="J57" s="285">
        <v>900</v>
      </c>
      <c r="K57" s="284">
        <v>21651042528</v>
      </c>
      <c r="L57" s="240"/>
      <c r="M57" s="240"/>
      <c r="N57" s="240"/>
      <c r="O57" s="240"/>
      <c r="P57" s="240"/>
      <c r="Q57" s="240"/>
      <c r="R57" s="240"/>
      <c r="S57" s="240"/>
      <c r="T57" s="283"/>
      <c r="U57" s="288"/>
      <c r="V57" s="284"/>
      <c r="W57" s="240">
        <v>21651042528</v>
      </c>
      <c r="X57" s="240"/>
      <c r="Y57" s="290" t="s">
        <v>440</v>
      </c>
      <c r="Z57" s="293" t="s">
        <v>511</v>
      </c>
      <c r="AA57" s="240">
        <v>1162141</v>
      </c>
      <c r="AB57" s="300"/>
      <c r="AC57" s="240"/>
      <c r="AD57" s="4"/>
      <c r="AE57" s="240"/>
      <c r="AF57" s="4"/>
      <c r="AG57" s="240"/>
      <c r="AH57" s="240">
        <v>18630</v>
      </c>
      <c r="AI57" s="240"/>
      <c r="AJ57" s="240"/>
      <c r="AK57" s="240"/>
      <c r="AL57" s="240">
        <v>170</v>
      </c>
      <c r="AM57" s="240">
        <v>59155853</v>
      </c>
      <c r="AN57" s="240">
        <v>24056713</v>
      </c>
      <c r="AO57" s="240"/>
      <c r="AP57" s="292" t="s">
        <v>440</v>
      </c>
      <c r="AQ57" s="302">
        <v>29.23</v>
      </c>
      <c r="AR57" s="537" t="s">
        <v>148</v>
      </c>
    </row>
    <row r="58" spans="1:44" ht="22.5" customHeight="1" x14ac:dyDescent="0.15">
      <c r="A58">
        <v>53</v>
      </c>
      <c r="B58" s="323" t="s">
        <v>109</v>
      </c>
      <c r="C58" s="324" t="s">
        <v>195</v>
      </c>
      <c r="D58" s="325" t="s">
        <v>35</v>
      </c>
      <c r="E58" s="326" t="s">
        <v>36</v>
      </c>
      <c r="F58" s="240">
        <v>1937207603</v>
      </c>
      <c r="G58" s="240">
        <v>4357637138</v>
      </c>
      <c r="H58" s="240">
        <v>15054554</v>
      </c>
      <c r="I58" s="283">
        <v>549133632</v>
      </c>
      <c r="J58" s="285">
        <v>275.5</v>
      </c>
      <c r="K58" s="284">
        <v>6859032929</v>
      </c>
      <c r="L58" s="240"/>
      <c r="M58" s="240"/>
      <c r="N58" s="240"/>
      <c r="O58" s="240"/>
      <c r="P58" s="240"/>
      <c r="Q58" s="240"/>
      <c r="R58" s="240"/>
      <c r="S58" s="240"/>
      <c r="T58" s="283"/>
      <c r="U58" s="288"/>
      <c r="V58" s="284"/>
      <c r="W58" s="240">
        <v>6859032929</v>
      </c>
      <c r="X58" s="240"/>
      <c r="Y58" s="290" t="s">
        <v>440</v>
      </c>
      <c r="Z58" s="293" t="s">
        <v>250</v>
      </c>
      <c r="AA58" s="240">
        <v>534571</v>
      </c>
      <c r="AB58" s="4"/>
      <c r="AC58" s="240"/>
      <c r="AD58" s="4"/>
      <c r="AE58" s="240"/>
      <c r="AF58" s="4"/>
      <c r="AG58" s="240"/>
      <c r="AH58" s="240">
        <v>12830</v>
      </c>
      <c r="AI58" s="240"/>
      <c r="AJ58" s="240"/>
      <c r="AK58" s="240"/>
      <c r="AL58" s="240">
        <v>53</v>
      </c>
      <c r="AM58" s="240">
        <v>18740527</v>
      </c>
      <c r="AN58" s="240">
        <v>24896671</v>
      </c>
      <c r="AO58" s="240"/>
      <c r="AP58" s="292" t="s">
        <v>440</v>
      </c>
      <c r="AQ58" s="302">
        <v>28.24</v>
      </c>
      <c r="AR58" s="537" t="s">
        <v>148</v>
      </c>
    </row>
    <row r="59" spans="1:44" ht="22.5" customHeight="1" x14ac:dyDescent="0.15">
      <c r="A59">
        <v>54</v>
      </c>
      <c r="B59" s="328" t="s">
        <v>109</v>
      </c>
      <c r="C59" s="327" t="s">
        <v>350</v>
      </c>
      <c r="D59" s="328" t="s">
        <v>338</v>
      </c>
      <c r="E59" s="328" t="s">
        <v>339</v>
      </c>
      <c r="F59" s="240">
        <v>21094819</v>
      </c>
      <c r="G59" s="240">
        <v>142369929</v>
      </c>
      <c r="H59" s="240">
        <v>48180</v>
      </c>
      <c r="I59" s="283">
        <v>2490850326</v>
      </c>
      <c r="J59" s="285">
        <v>3</v>
      </c>
      <c r="K59" s="284">
        <v>2654363255</v>
      </c>
      <c r="L59" s="240"/>
      <c r="M59" s="240"/>
      <c r="N59" s="240"/>
      <c r="O59" s="240"/>
      <c r="P59" s="240"/>
      <c r="Q59" s="240"/>
      <c r="R59" s="240"/>
      <c r="S59" s="240"/>
      <c r="T59" s="283"/>
      <c r="U59" s="295"/>
      <c r="V59" s="284"/>
      <c r="W59" s="240">
        <v>2654363255</v>
      </c>
      <c r="X59" s="240"/>
      <c r="Y59" s="290"/>
      <c r="Z59" s="293" t="s">
        <v>513</v>
      </c>
      <c r="AA59" s="240">
        <v>100</v>
      </c>
      <c r="AB59" s="4"/>
      <c r="AC59" s="240"/>
      <c r="AD59" s="4"/>
      <c r="AE59" s="240"/>
      <c r="AF59" s="4"/>
      <c r="AG59" s="240"/>
      <c r="AH59" s="240">
        <v>26543632</v>
      </c>
      <c r="AI59" s="240"/>
      <c r="AJ59" s="240"/>
      <c r="AK59" s="240"/>
      <c r="AL59" s="240">
        <v>20</v>
      </c>
      <c r="AM59" s="240">
        <v>7252358</v>
      </c>
      <c r="AN59" s="240">
        <v>884787751</v>
      </c>
      <c r="AO59" s="240"/>
      <c r="AP59" s="292"/>
      <c r="AQ59" s="302">
        <v>0.79</v>
      </c>
      <c r="AR59" s="537" t="s">
        <v>148</v>
      </c>
    </row>
    <row r="60" spans="1:44" ht="22.5" customHeight="1" x14ac:dyDescent="0.15">
      <c r="A60">
        <v>55</v>
      </c>
      <c r="B60" s="328" t="s">
        <v>109</v>
      </c>
      <c r="C60" s="327" t="s">
        <v>349</v>
      </c>
      <c r="D60" s="328" t="s">
        <v>338</v>
      </c>
      <c r="E60" s="328" t="s">
        <v>339</v>
      </c>
      <c r="F60" s="240">
        <v>7031606</v>
      </c>
      <c r="G60" s="240">
        <v>34544091</v>
      </c>
      <c r="H60" s="240">
        <v>3075</v>
      </c>
      <c r="I60" s="283"/>
      <c r="J60" s="285">
        <v>1</v>
      </c>
      <c r="K60" s="284">
        <v>41578773</v>
      </c>
      <c r="L60" s="240"/>
      <c r="M60" s="240"/>
      <c r="N60" s="240"/>
      <c r="O60" s="240"/>
      <c r="P60" s="240"/>
      <c r="Q60" s="240"/>
      <c r="R60" s="240"/>
      <c r="S60" s="240"/>
      <c r="T60" s="283"/>
      <c r="U60" s="288"/>
      <c r="V60" s="284"/>
      <c r="W60" s="240">
        <v>41578773</v>
      </c>
      <c r="X60" s="240">
        <v>18584300</v>
      </c>
      <c r="Y60" s="290">
        <v>44.7</v>
      </c>
      <c r="Z60" s="495" t="s">
        <v>450</v>
      </c>
      <c r="AA60" s="240">
        <v>1337</v>
      </c>
      <c r="AB60" s="4"/>
      <c r="AC60" s="240"/>
      <c r="AD60" s="4"/>
      <c r="AE60" s="240"/>
      <c r="AF60" s="4"/>
      <c r="AG60" s="240"/>
      <c r="AH60" s="240">
        <v>31098</v>
      </c>
      <c r="AI60" s="240"/>
      <c r="AJ60" s="240"/>
      <c r="AK60" s="240"/>
      <c r="AL60" s="310">
        <v>0.3</v>
      </c>
      <c r="AM60" s="240">
        <v>113603</v>
      </c>
      <c r="AN60" s="240">
        <v>41578773</v>
      </c>
      <c r="AO60" s="240"/>
      <c r="AP60" s="292"/>
      <c r="AQ60" s="302">
        <v>16.91</v>
      </c>
      <c r="AR60" s="537" t="s">
        <v>148</v>
      </c>
    </row>
    <row r="61" spans="1:44" ht="22.5" customHeight="1" x14ac:dyDescent="0.15">
      <c r="A61">
        <v>56</v>
      </c>
      <c r="B61" s="328" t="s">
        <v>109</v>
      </c>
      <c r="C61" s="327" t="s">
        <v>437</v>
      </c>
      <c r="D61" s="328" t="s">
        <v>338</v>
      </c>
      <c r="E61" s="328" t="s">
        <v>345</v>
      </c>
      <c r="F61" s="240">
        <v>7031606</v>
      </c>
      <c r="G61" s="240">
        <v>14279920</v>
      </c>
      <c r="H61" s="240">
        <v>58693</v>
      </c>
      <c r="I61" s="283">
        <v>243229</v>
      </c>
      <c r="J61" s="285">
        <v>1</v>
      </c>
      <c r="K61" s="284">
        <v>21613449</v>
      </c>
      <c r="L61" s="240">
        <v>343086981</v>
      </c>
      <c r="M61" s="240">
        <v>754094477</v>
      </c>
      <c r="N61" s="240">
        <v>25691637</v>
      </c>
      <c r="O61" s="240">
        <v>15066486</v>
      </c>
      <c r="P61" s="240">
        <v>368778618</v>
      </c>
      <c r="Q61" s="240">
        <v>282927</v>
      </c>
      <c r="R61" s="240">
        <v>769160963</v>
      </c>
      <c r="S61" s="240">
        <v>8426459</v>
      </c>
      <c r="T61" s="283">
        <v>1339881</v>
      </c>
      <c r="U61" s="288">
        <v>39.4</v>
      </c>
      <c r="V61" s="284">
        <v>1147988850</v>
      </c>
      <c r="W61" s="240">
        <v>1169602300</v>
      </c>
      <c r="X61" s="240">
        <v>168068000</v>
      </c>
      <c r="Y61" s="290">
        <v>14.37</v>
      </c>
      <c r="Z61" s="495" t="s">
        <v>465</v>
      </c>
      <c r="AA61" s="240">
        <v>56745</v>
      </c>
      <c r="AB61" s="500" t="s">
        <v>466</v>
      </c>
      <c r="AC61" s="240">
        <v>1775</v>
      </c>
      <c r="AD61" s="4" t="s">
        <v>467</v>
      </c>
      <c r="AE61" s="240">
        <v>23343</v>
      </c>
      <c r="AF61" s="4" t="s">
        <v>440</v>
      </c>
      <c r="AG61" s="240"/>
      <c r="AH61" s="240">
        <v>20611</v>
      </c>
      <c r="AI61" s="240">
        <v>658930</v>
      </c>
      <c r="AJ61" s="240">
        <v>50105</v>
      </c>
      <c r="AK61" s="240" t="s">
        <v>440</v>
      </c>
      <c r="AL61" s="240">
        <v>9</v>
      </c>
      <c r="AM61" s="240">
        <v>3195634</v>
      </c>
      <c r="AN61" s="240">
        <v>28950551</v>
      </c>
      <c r="AO61" s="240"/>
      <c r="AP61" s="292"/>
      <c r="AQ61" s="302">
        <v>32.159999999999997</v>
      </c>
      <c r="AR61" s="537" t="s">
        <v>149</v>
      </c>
    </row>
    <row r="62" spans="1:44" ht="22.5" customHeight="1" x14ac:dyDescent="0.15">
      <c r="A62">
        <v>57</v>
      </c>
      <c r="B62" s="328" t="s">
        <v>109</v>
      </c>
      <c r="C62" s="327" t="s">
        <v>442</v>
      </c>
      <c r="D62" s="328" t="s">
        <v>338</v>
      </c>
      <c r="E62" s="328" t="s">
        <v>345</v>
      </c>
      <c r="F62" s="240">
        <v>597686556</v>
      </c>
      <c r="G62" s="240">
        <v>1220086559</v>
      </c>
      <c r="H62" s="240">
        <v>4761388</v>
      </c>
      <c r="I62" s="283"/>
      <c r="J62" s="285">
        <v>85</v>
      </c>
      <c r="K62" s="284">
        <v>1822534505</v>
      </c>
      <c r="L62" s="240">
        <v>43675907000</v>
      </c>
      <c r="M62" s="240">
        <v>25508472000</v>
      </c>
      <c r="N62" s="240"/>
      <c r="O62" s="240"/>
      <c r="P62" s="240">
        <v>43675907000</v>
      </c>
      <c r="Q62" s="240"/>
      <c r="R62" s="240">
        <v>25508472000</v>
      </c>
      <c r="S62" s="240"/>
      <c r="T62" s="283"/>
      <c r="U62" s="285">
        <v>5363.3</v>
      </c>
      <c r="V62" s="284">
        <v>69184379000</v>
      </c>
      <c r="W62" s="240">
        <v>71006913505</v>
      </c>
      <c r="X62" s="241">
        <v>30333705000</v>
      </c>
      <c r="Y62" s="290">
        <v>42.72</v>
      </c>
      <c r="Z62" s="495" t="s">
        <v>514</v>
      </c>
      <c r="AA62" s="240">
        <v>1896000</v>
      </c>
      <c r="AB62" s="5"/>
      <c r="AC62" s="241"/>
      <c r="AD62" s="5"/>
      <c r="AE62" s="241"/>
      <c r="AF62" s="5"/>
      <c r="AG62" s="241"/>
      <c r="AH62" s="241">
        <v>37450</v>
      </c>
      <c r="AI62" s="240" t="s">
        <v>440</v>
      </c>
      <c r="AJ62" s="240" t="s">
        <v>440</v>
      </c>
      <c r="AK62" s="241" t="s">
        <v>440</v>
      </c>
      <c r="AL62" s="241">
        <v>558</v>
      </c>
      <c r="AM62" s="240">
        <v>194007960</v>
      </c>
      <c r="AN62" s="240">
        <v>13032718</v>
      </c>
      <c r="AO62" s="241"/>
      <c r="AP62" s="292"/>
      <c r="AQ62" s="302">
        <v>62.35</v>
      </c>
      <c r="AR62" s="537" t="s">
        <v>149</v>
      </c>
    </row>
    <row r="63" spans="1:44" ht="22.5" customHeight="1" x14ac:dyDescent="0.15">
      <c r="A63">
        <v>58</v>
      </c>
      <c r="B63" s="328" t="s">
        <v>109</v>
      </c>
      <c r="C63" s="327" t="s">
        <v>380</v>
      </c>
      <c r="D63" s="328" t="s">
        <v>346</v>
      </c>
      <c r="E63" s="328" t="s">
        <v>339</v>
      </c>
      <c r="F63" s="240">
        <v>142038452</v>
      </c>
      <c r="G63" s="240">
        <v>311491516</v>
      </c>
      <c r="H63" s="240">
        <v>1112580</v>
      </c>
      <c r="I63" s="283"/>
      <c r="J63" s="285">
        <v>20.2</v>
      </c>
      <c r="K63" s="284">
        <v>454642549</v>
      </c>
      <c r="L63" s="240"/>
      <c r="M63" s="240"/>
      <c r="N63" s="240"/>
      <c r="O63" s="240"/>
      <c r="P63" s="240"/>
      <c r="Q63" s="240"/>
      <c r="R63" s="240"/>
      <c r="S63" s="240"/>
      <c r="T63" s="283"/>
      <c r="U63" s="288"/>
      <c r="V63" s="284"/>
      <c r="W63" s="240">
        <v>454642549</v>
      </c>
      <c r="X63" s="240"/>
      <c r="Y63" s="290"/>
      <c r="Z63" s="5" t="s">
        <v>370</v>
      </c>
      <c r="AA63" s="240">
        <v>121</v>
      </c>
      <c r="AB63" s="293"/>
      <c r="AC63" s="240"/>
      <c r="AD63" s="5"/>
      <c r="AE63" s="241"/>
      <c r="AF63" s="5"/>
      <c r="AG63" s="241"/>
      <c r="AH63" s="240">
        <v>3757376</v>
      </c>
      <c r="AI63" s="240"/>
      <c r="AJ63" s="240"/>
      <c r="AK63" s="241"/>
      <c r="AL63" s="241">
        <v>3</v>
      </c>
      <c r="AM63" s="240">
        <v>1242192</v>
      </c>
      <c r="AN63" s="240">
        <v>22507056</v>
      </c>
      <c r="AO63" s="241">
        <v>49285636910</v>
      </c>
      <c r="AP63" s="292">
        <v>0.92</v>
      </c>
      <c r="AQ63" s="302">
        <v>31.24</v>
      </c>
      <c r="AR63" s="537" t="s">
        <v>150</v>
      </c>
    </row>
    <row r="64" spans="1:44" ht="22.5" customHeight="1" x14ac:dyDescent="0.15">
      <c r="A64">
        <v>59</v>
      </c>
      <c r="B64" s="328" t="s">
        <v>110</v>
      </c>
      <c r="C64" s="327" t="s">
        <v>475</v>
      </c>
      <c r="D64" s="328" t="s">
        <v>338</v>
      </c>
      <c r="E64" s="328" t="s">
        <v>339</v>
      </c>
      <c r="F64" s="240">
        <v>10898990</v>
      </c>
      <c r="G64" s="240">
        <v>7785532</v>
      </c>
      <c r="H64" s="240">
        <v>417399</v>
      </c>
      <c r="I64" s="283">
        <v>33812000</v>
      </c>
      <c r="J64" s="285">
        <v>1.5</v>
      </c>
      <c r="K64" s="284">
        <v>52913921</v>
      </c>
      <c r="L64" s="240"/>
      <c r="M64" s="240"/>
      <c r="N64" s="240"/>
      <c r="O64" s="240"/>
      <c r="P64" s="240"/>
      <c r="Q64" s="240"/>
      <c r="R64" s="240"/>
      <c r="S64" s="240"/>
      <c r="T64" s="283"/>
      <c r="U64" s="288"/>
      <c r="V64" s="284"/>
      <c r="W64" s="240">
        <v>52913921</v>
      </c>
      <c r="X64" s="241">
        <v>65127000</v>
      </c>
      <c r="Y64" s="290">
        <v>123.08</v>
      </c>
      <c r="Z64" s="495" t="s">
        <v>359</v>
      </c>
      <c r="AA64" s="241">
        <v>7662</v>
      </c>
      <c r="AB64" s="5"/>
      <c r="AC64" s="241"/>
      <c r="AD64" s="5"/>
      <c r="AE64" s="241"/>
      <c r="AF64" s="5"/>
      <c r="AG64" s="241"/>
      <c r="AH64" s="240">
        <v>6906</v>
      </c>
      <c r="AI64" s="240"/>
      <c r="AJ64" s="240"/>
      <c r="AK64" s="241"/>
      <c r="AL64" s="313">
        <v>0.4</v>
      </c>
      <c r="AM64" s="241">
        <v>144573</v>
      </c>
      <c r="AN64" s="241">
        <v>34138014</v>
      </c>
      <c r="AO64" s="241"/>
      <c r="AP64" s="292"/>
      <c r="AQ64" s="302">
        <v>20.6</v>
      </c>
      <c r="AR64" s="537" t="s">
        <v>148</v>
      </c>
    </row>
    <row r="65" spans="1:44" ht="22.5" customHeight="1" x14ac:dyDescent="0.15">
      <c r="A65">
        <v>60</v>
      </c>
      <c r="B65" s="323" t="s">
        <v>110</v>
      </c>
      <c r="C65" s="324" t="s">
        <v>111</v>
      </c>
      <c r="D65" s="325" t="s">
        <v>35</v>
      </c>
      <c r="E65" s="326" t="s">
        <v>36</v>
      </c>
      <c r="F65" s="240">
        <v>22501140</v>
      </c>
      <c r="G65" s="240">
        <v>5222801</v>
      </c>
      <c r="H65" s="240">
        <v>541777</v>
      </c>
      <c r="I65" s="283">
        <v>61973848</v>
      </c>
      <c r="J65" s="285">
        <v>3.2</v>
      </c>
      <c r="K65" s="284">
        <v>90239568</v>
      </c>
      <c r="L65" s="240"/>
      <c r="M65" s="240"/>
      <c r="N65" s="240"/>
      <c r="O65" s="240"/>
      <c r="P65" s="240"/>
      <c r="Q65" s="240"/>
      <c r="R65" s="240"/>
      <c r="S65" s="240"/>
      <c r="T65" s="283"/>
      <c r="U65" s="288"/>
      <c r="V65" s="284"/>
      <c r="W65" s="240">
        <v>90239568</v>
      </c>
      <c r="X65" s="240">
        <v>64080000</v>
      </c>
      <c r="Y65" s="290">
        <v>71.010000000000005</v>
      </c>
      <c r="Z65" s="5" t="s">
        <v>251</v>
      </c>
      <c r="AA65" s="240">
        <v>5340</v>
      </c>
      <c r="AB65" s="293"/>
      <c r="AC65" s="241"/>
      <c r="AD65" s="5"/>
      <c r="AE65" s="241"/>
      <c r="AF65" s="5"/>
      <c r="AG65" s="241"/>
      <c r="AH65" s="240">
        <v>16898</v>
      </c>
      <c r="AI65" s="240"/>
      <c r="AJ65" s="240"/>
      <c r="AK65" s="241"/>
      <c r="AL65" s="313">
        <v>0.7</v>
      </c>
      <c r="AM65" s="241">
        <v>246556</v>
      </c>
      <c r="AN65" s="241">
        <v>28199865</v>
      </c>
      <c r="AO65" s="241"/>
      <c r="AP65" s="292" t="s">
        <v>440</v>
      </c>
      <c r="AQ65" s="302">
        <v>24.93</v>
      </c>
      <c r="AR65" s="537" t="s">
        <v>148</v>
      </c>
    </row>
    <row r="66" spans="1:44" ht="22.5" customHeight="1" x14ac:dyDescent="0.15">
      <c r="A66">
        <v>61</v>
      </c>
      <c r="B66" s="328" t="s">
        <v>110</v>
      </c>
      <c r="C66" s="327" t="s">
        <v>463</v>
      </c>
      <c r="D66" s="328" t="s">
        <v>346</v>
      </c>
      <c r="E66" s="328" t="s">
        <v>345</v>
      </c>
      <c r="F66" s="240"/>
      <c r="G66" s="240"/>
      <c r="H66" s="240"/>
      <c r="I66" s="283"/>
      <c r="J66" s="285"/>
      <c r="K66" s="284"/>
      <c r="L66" s="240"/>
      <c r="M66" s="240"/>
      <c r="N66" s="240"/>
      <c r="O66" s="240"/>
      <c r="P66" s="240"/>
      <c r="Q66" s="240"/>
      <c r="R66" s="240"/>
      <c r="S66" s="240"/>
      <c r="T66" s="283"/>
      <c r="U66" s="288"/>
      <c r="V66" s="284"/>
      <c r="W66" s="240"/>
      <c r="X66" s="241"/>
      <c r="Y66" s="290" t="s">
        <v>440</v>
      </c>
      <c r="Z66" s="495" t="s">
        <v>254</v>
      </c>
      <c r="AA66" s="240"/>
      <c r="AB66" s="5"/>
      <c r="AC66" s="241"/>
      <c r="AD66" s="5"/>
      <c r="AE66" s="241"/>
      <c r="AF66" s="5"/>
      <c r="AG66" s="241"/>
      <c r="AH66" s="240" t="s">
        <v>440</v>
      </c>
      <c r="AI66" s="240"/>
      <c r="AJ66" s="240"/>
      <c r="AK66" s="241"/>
      <c r="AL66" s="240"/>
      <c r="AM66" s="240"/>
      <c r="AN66" s="240"/>
      <c r="AO66" s="241"/>
      <c r="AP66" s="292"/>
      <c r="AQ66" s="302"/>
      <c r="AR66" s="537" t="s">
        <v>151</v>
      </c>
    </row>
    <row r="67" spans="1:44" ht="22.5" customHeight="1" x14ac:dyDescent="0.15">
      <c r="A67">
        <v>62</v>
      </c>
      <c r="B67" s="328" t="s">
        <v>110</v>
      </c>
      <c r="C67" s="327" t="s">
        <v>347</v>
      </c>
      <c r="D67" s="328" t="s">
        <v>346</v>
      </c>
      <c r="E67" s="328" t="s">
        <v>345</v>
      </c>
      <c r="F67" s="240">
        <v>30939068</v>
      </c>
      <c r="G67" s="240">
        <v>51126310</v>
      </c>
      <c r="H67" s="240">
        <v>524288945</v>
      </c>
      <c r="I67" s="283"/>
      <c r="J67" s="285">
        <v>4.4000000000000004</v>
      </c>
      <c r="K67" s="284">
        <v>606354324</v>
      </c>
      <c r="L67" s="240">
        <v>489347315</v>
      </c>
      <c r="M67" s="240">
        <v>672397066</v>
      </c>
      <c r="N67" s="240">
        <v>4655698</v>
      </c>
      <c r="O67" s="240">
        <v>17233597</v>
      </c>
      <c r="P67" s="240">
        <v>494003013</v>
      </c>
      <c r="Q67" s="240"/>
      <c r="R67" s="240">
        <v>689630663</v>
      </c>
      <c r="S67" s="240"/>
      <c r="T67" s="283"/>
      <c r="U67" s="288">
        <v>191.7</v>
      </c>
      <c r="V67" s="284">
        <v>1183633677</v>
      </c>
      <c r="W67" s="240">
        <v>1789988001</v>
      </c>
      <c r="X67" s="240"/>
      <c r="Y67" s="290"/>
      <c r="Z67" s="5" t="s">
        <v>254</v>
      </c>
      <c r="AA67" s="241">
        <v>1315</v>
      </c>
      <c r="AB67" s="5"/>
      <c r="AC67" s="241"/>
      <c r="AD67" s="5"/>
      <c r="AE67" s="241"/>
      <c r="AF67" s="5"/>
      <c r="AG67" s="241"/>
      <c r="AH67" s="240">
        <v>1361207</v>
      </c>
      <c r="AI67" s="240"/>
      <c r="AJ67" s="240"/>
      <c r="AK67" s="241"/>
      <c r="AL67" s="241">
        <v>14</v>
      </c>
      <c r="AM67" s="240">
        <v>4890677</v>
      </c>
      <c r="AN67" s="240">
        <v>9127723</v>
      </c>
      <c r="AO67" s="241">
        <v>34910199923</v>
      </c>
      <c r="AP67" s="292">
        <v>5.13</v>
      </c>
      <c r="AQ67" s="302">
        <v>29.33</v>
      </c>
      <c r="AR67" s="537" t="s">
        <v>151</v>
      </c>
    </row>
    <row r="68" spans="1:44" ht="22.5" customHeight="1" x14ac:dyDescent="0.15">
      <c r="A68">
        <v>63</v>
      </c>
      <c r="B68" s="323" t="s">
        <v>110</v>
      </c>
      <c r="C68" s="324" t="s">
        <v>196</v>
      </c>
      <c r="D68" s="325" t="s">
        <v>87</v>
      </c>
      <c r="E68" s="326" t="s">
        <v>38</v>
      </c>
      <c r="F68" s="240"/>
      <c r="G68" s="240"/>
      <c r="H68" s="240"/>
      <c r="I68" s="283"/>
      <c r="J68" s="285"/>
      <c r="K68" s="284"/>
      <c r="L68" s="240">
        <v>398057070</v>
      </c>
      <c r="M68" s="240">
        <v>565229457</v>
      </c>
      <c r="N68" s="240">
        <v>11762195</v>
      </c>
      <c r="O68" s="240">
        <v>18919016</v>
      </c>
      <c r="P68" s="240">
        <v>409819265</v>
      </c>
      <c r="Q68" s="240"/>
      <c r="R68" s="240">
        <v>584148473</v>
      </c>
      <c r="S68" s="240"/>
      <c r="T68" s="283"/>
      <c r="U68" s="288">
        <v>76.400000000000006</v>
      </c>
      <c r="V68" s="284">
        <v>993967738</v>
      </c>
      <c r="W68" s="240">
        <v>993967738</v>
      </c>
      <c r="X68" s="241"/>
      <c r="Y68" s="290" t="s">
        <v>440</v>
      </c>
      <c r="Z68" s="309" t="s">
        <v>252</v>
      </c>
      <c r="AA68" s="241">
        <v>9976</v>
      </c>
      <c r="AB68" s="499" t="s">
        <v>253</v>
      </c>
      <c r="AC68" s="241">
        <v>14678</v>
      </c>
      <c r="AD68" s="5"/>
      <c r="AE68" s="241"/>
      <c r="AF68" s="5"/>
      <c r="AG68" s="241"/>
      <c r="AH68" s="240">
        <v>99635</v>
      </c>
      <c r="AI68" s="240">
        <v>67718</v>
      </c>
      <c r="AJ68" s="240"/>
      <c r="AK68" s="241"/>
      <c r="AL68" s="313">
        <v>7</v>
      </c>
      <c r="AM68" s="240">
        <v>2715758</v>
      </c>
      <c r="AN68" s="240">
        <v>13002172</v>
      </c>
      <c r="AO68" s="240">
        <v>21820833000</v>
      </c>
      <c r="AP68" s="292">
        <v>4.5599999999999996</v>
      </c>
      <c r="AQ68" s="302">
        <v>41.23</v>
      </c>
      <c r="AR68" s="541" t="s">
        <v>151</v>
      </c>
    </row>
    <row r="69" spans="1:44" ht="22.5" customHeight="1" x14ac:dyDescent="0.15">
      <c r="A69">
        <v>64</v>
      </c>
      <c r="B69" s="328" t="s">
        <v>110</v>
      </c>
      <c r="C69" s="327" t="s">
        <v>348</v>
      </c>
      <c r="D69" s="328" t="s">
        <v>346</v>
      </c>
      <c r="E69" s="328" t="s">
        <v>345</v>
      </c>
      <c r="F69" s="240">
        <v>11953731</v>
      </c>
      <c r="G69" s="240">
        <v>19753347</v>
      </c>
      <c r="H69" s="240">
        <v>202566183</v>
      </c>
      <c r="I69" s="283"/>
      <c r="J69" s="285">
        <v>1.7</v>
      </c>
      <c r="K69" s="284">
        <v>234273261</v>
      </c>
      <c r="L69" s="240">
        <v>98320063</v>
      </c>
      <c r="M69" s="240">
        <v>43425766</v>
      </c>
      <c r="N69" s="240">
        <v>2088542</v>
      </c>
      <c r="O69" s="240">
        <v>3359336</v>
      </c>
      <c r="P69" s="240">
        <v>100408605</v>
      </c>
      <c r="Q69" s="240"/>
      <c r="R69" s="240">
        <v>46785102</v>
      </c>
      <c r="S69" s="240"/>
      <c r="T69" s="283"/>
      <c r="U69" s="288">
        <v>14</v>
      </c>
      <c r="V69" s="284">
        <v>147193708</v>
      </c>
      <c r="W69" s="240">
        <v>381466970</v>
      </c>
      <c r="X69" s="241"/>
      <c r="Y69" s="290"/>
      <c r="Z69" s="5" t="s">
        <v>254</v>
      </c>
      <c r="AA69" s="241">
        <v>91</v>
      </c>
      <c r="AB69" s="499" t="s">
        <v>383</v>
      </c>
      <c r="AC69" s="241">
        <v>51</v>
      </c>
      <c r="AD69" s="5"/>
      <c r="AE69" s="241"/>
      <c r="AF69" s="5"/>
      <c r="AG69" s="241"/>
      <c r="AH69" s="240">
        <v>4191944</v>
      </c>
      <c r="AI69" s="240">
        <v>7479744</v>
      </c>
      <c r="AJ69" s="240" t="s">
        <v>440</v>
      </c>
      <c r="AK69" s="241" t="s">
        <v>440</v>
      </c>
      <c r="AL69" s="241">
        <v>3</v>
      </c>
      <c r="AM69" s="241">
        <v>1042259</v>
      </c>
      <c r="AN69" s="241">
        <v>24297259</v>
      </c>
      <c r="AO69" s="240">
        <v>11644635651</v>
      </c>
      <c r="AP69" s="292">
        <v>3.28</v>
      </c>
      <c r="AQ69" s="302">
        <v>29.46</v>
      </c>
      <c r="AR69" s="541" t="s">
        <v>151</v>
      </c>
    </row>
    <row r="70" spans="1:44" ht="22.5" customHeight="1" x14ac:dyDescent="0.15">
      <c r="A70">
        <v>65</v>
      </c>
      <c r="B70" s="323" t="s">
        <v>110</v>
      </c>
      <c r="C70" s="324" t="s">
        <v>226</v>
      </c>
      <c r="D70" s="323" t="s">
        <v>87</v>
      </c>
      <c r="E70" s="330" t="s">
        <v>38</v>
      </c>
      <c r="F70" s="240">
        <v>11953731</v>
      </c>
      <c r="G70" s="240">
        <v>19753347</v>
      </c>
      <c r="H70" s="240">
        <v>202566183</v>
      </c>
      <c r="I70" s="283"/>
      <c r="J70" s="285">
        <v>1.7</v>
      </c>
      <c r="K70" s="284">
        <v>234273261</v>
      </c>
      <c r="L70" s="240">
        <v>81615494</v>
      </c>
      <c r="M70" s="240">
        <v>366599152</v>
      </c>
      <c r="N70" s="240">
        <v>5955393</v>
      </c>
      <c r="O70" s="240">
        <v>14611431</v>
      </c>
      <c r="P70" s="240">
        <v>87570887</v>
      </c>
      <c r="Q70" s="240"/>
      <c r="R70" s="240">
        <v>381210583</v>
      </c>
      <c r="S70" s="240"/>
      <c r="T70" s="283"/>
      <c r="U70" s="288">
        <v>56</v>
      </c>
      <c r="V70" s="284">
        <v>468781471</v>
      </c>
      <c r="W70" s="240">
        <v>703054732</v>
      </c>
      <c r="X70" s="241"/>
      <c r="Y70" s="290" t="s">
        <v>440</v>
      </c>
      <c r="Z70" s="5" t="s">
        <v>254</v>
      </c>
      <c r="AA70" s="241">
        <v>40641</v>
      </c>
      <c r="AB70" s="5"/>
      <c r="AC70" s="241"/>
      <c r="AD70" s="5"/>
      <c r="AE70" s="241"/>
      <c r="AF70" s="5"/>
      <c r="AG70" s="241"/>
      <c r="AH70" s="240">
        <v>17299</v>
      </c>
      <c r="AI70" s="240"/>
      <c r="AJ70" s="240"/>
      <c r="AK70" s="241"/>
      <c r="AL70" s="241">
        <v>5</v>
      </c>
      <c r="AM70" s="241">
        <v>1920914</v>
      </c>
      <c r="AN70" s="241">
        <v>12184657</v>
      </c>
      <c r="AO70" s="240">
        <v>13320000000</v>
      </c>
      <c r="AP70" s="292">
        <v>5.28</v>
      </c>
      <c r="AQ70" s="302">
        <v>14.16</v>
      </c>
      <c r="AR70" s="541" t="s">
        <v>151</v>
      </c>
    </row>
    <row r="71" spans="1:44" ht="22.5" customHeight="1" x14ac:dyDescent="0.15">
      <c r="A71">
        <v>66</v>
      </c>
      <c r="B71" s="328" t="s">
        <v>112</v>
      </c>
      <c r="C71" s="327" t="s">
        <v>343</v>
      </c>
      <c r="D71" s="328" t="s">
        <v>338</v>
      </c>
      <c r="E71" s="328" t="s">
        <v>339</v>
      </c>
      <c r="F71" s="240">
        <v>572232140</v>
      </c>
      <c r="G71" s="240">
        <v>178404219</v>
      </c>
      <c r="H71" s="240"/>
      <c r="I71" s="283">
        <v>11278436694</v>
      </c>
      <c r="J71" s="285">
        <v>81.3</v>
      </c>
      <c r="K71" s="284">
        <v>12029073054</v>
      </c>
      <c r="L71" s="240"/>
      <c r="M71" s="240"/>
      <c r="N71" s="240"/>
      <c r="O71" s="240"/>
      <c r="P71" s="240"/>
      <c r="Q71" s="240"/>
      <c r="R71" s="240"/>
      <c r="S71" s="240"/>
      <c r="T71" s="283"/>
      <c r="U71" s="288"/>
      <c r="V71" s="284"/>
      <c r="W71" s="240">
        <v>12029073054</v>
      </c>
      <c r="X71" s="241"/>
      <c r="Y71" s="290"/>
      <c r="Z71" s="5" t="s">
        <v>373</v>
      </c>
      <c r="AA71" s="241">
        <v>33005360</v>
      </c>
      <c r="AB71" s="327" t="s">
        <v>476</v>
      </c>
      <c r="AC71" s="241">
        <v>3816</v>
      </c>
      <c r="AD71" s="5"/>
      <c r="AE71" s="241"/>
      <c r="AF71" s="5"/>
      <c r="AG71" s="241"/>
      <c r="AH71" s="240">
        <v>364</v>
      </c>
      <c r="AI71" s="240">
        <v>3152272</v>
      </c>
      <c r="AJ71" s="240" t="s">
        <v>440</v>
      </c>
      <c r="AK71" s="241" t="s">
        <v>440</v>
      </c>
      <c r="AL71" s="241">
        <v>94</v>
      </c>
      <c r="AM71" s="241">
        <v>32866319</v>
      </c>
      <c r="AN71" s="241">
        <v>147813628</v>
      </c>
      <c r="AO71" s="241"/>
      <c r="AP71" s="292"/>
      <c r="AQ71" s="302">
        <v>4.76</v>
      </c>
      <c r="AR71" s="541" t="s">
        <v>148</v>
      </c>
    </row>
    <row r="72" spans="1:44" ht="22.5" customHeight="1" x14ac:dyDescent="0.15">
      <c r="A72">
        <v>67</v>
      </c>
      <c r="B72" s="323" t="s">
        <v>112</v>
      </c>
      <c r="C72" s="324" t="s">
        <v>260</v>
      </c>
      <c r="D72" s="323" t="s">
        <v>35</v>
      </c>
      <c r="E72" s="330" t="s">
        <v>36</v>
      </c>
      <c r="F72" s="240">
        <v>44299121</v>
      </c>
      <c r="G72" s="240">
        <v>500917</v>
      </c>
      <c r="H72" s="240"/>
      <c r="I72" s="283">
        <v>189991345</v>
      </c>
      <c r="J72" s="285">
        <v>6.3</v>
      </c>
      <c r="K72" s="284">
        <v>234791383</v>
      </c>
      <c r="L72" s="240"/>
      <c r="M72" s="240"/>
      <c r="N72" s="240"/>
      <c r="O72" s="240"/>
      <c r="P72" s="240"/>
      <c r="Q72" s="240"/>
      <c r="R72" s="240"/>
      <c r="S72" s="240"/>
      <c r="T72" s="283"/>
      <c r="U72" s="288"/>
      <c r="V72" s="284"/>
      <c r="W72" s="240">
        <v>234791383</v>
      </c>
      <c r="X72" s="241"/>
      <c r="Y72" s="290" t="s">
        <v>440</v>
      </c>
      <c r="Z72" s="499" t="s">
        <v>255</v>
      </c>
      <c r="AA72" s="241">
        <v>20</v>
      </c>
      <c r="AB72" s="499" t="s">
        <v>256</v>
      </c>
      <c r="AC72" s="241">
        <v>1539.3</v>
      </c>
      <c r="AD72" s="5"/>
      <c r="AE72" s="241"/>
      <c r="AF72" s="5"/>
      <c r="AG72" s="241"/>
      <c r="AH72" s="240">
        <v>126796</v>
      </c>
      <c r="AI72" s="240">
        <v>150883</v>
      </c>
      <c r="AJ72" s="240"/>
      <c r="AK72" s="241"/>
      <c r="AL72" s="241">
        <v>1</v>
      </c>
      <c r="AM72" s="241"/>
      <c r="AN72" s="241"/>
      <c r="AO72" s="241"/>
      <c r="AP72" s="292" t="s">
        <v>440</v>
      </c>
      <c r="AQ72" s="302">
        <v>18.87</v>
      </c>
      <c r="AR72" s="541" t="s">
        <v>148</v>
      </c>
    </row>
    <row r="73" spans="1:44" ht="22.5" customHeight="1" x14ac:dyDescent="0.15">
      <c r="A73">
        <v>68</v>
      </c>
      <c r="B73" s="323" t="s">
        <v>112</v>
      </c>
      <c r="C73" s="324" t="s">
        <v>261</v>
      </c>
      <c r="D73" s="323" t="s">
        <v>35</v>
      </c>
      <c r="E73" s="330" t="s">
        <v>36</v>
      </c>
      <c r="F73" s="240">
        <v>703160</v>
      </c>
      <c r="G73" s="240">
        <v>7951</v>
      </c>
      <c r="H73" s="240"/>
      <c r="I73" s="283">
        <v>1824822</v>
      </c>
      <c r="J73" s="285">
        <v>0.1</v>
      </c>
      <c r="K73" s="284">
        <v>2535933</v>
      </c>
      <c r="L73" s="240"/>
      <c r="M73" s="240"/>
      <c r="N73" s="240"/>
      <c r="O73" s="240"/>
      <c r="P73" s="240"/>
      <c r="Q73" s="240"/>
      <c r="R73" s="240"/>
      <c r="S73" s="240"/>
      <c r="T73" s="283"/>
      <c r="U73" s="288"/>
      <c r="V73" s="284"/>
      <c r="W73" s="240">
        <v>2535933</v>
      </c>
      <c r="X73" s="241"/>
      <c r="Y73" s="290" t="s">
        <v>440</v>
      </c>
      <c r="Z73" s="499" t="s">
        <v>255</v>
      </c>
      <c r="AA73" s="241">
        <v>20</v>
      </c>
      <c r="AB73" s="5"/>
      <c r="AC73" s="241"/>
      <c r="AD73" s="5"/>
      <c r="AE73" s="241"/>
      <c r="AF73" s="5"/>
      <c r="AG73" s="241"/>
      <c r="AH73" s="240">
        <v>126796</v>
      </c>
      <c r="AI73" s="240"/>
      <c r="AJ73" s="240"/>
      <c r="AK73" s="241"/>
      <c r="AL73" s="241"/>
      <c r="AM73" s="240">
        <v>6928</v>
      </c>
      <c r="AN73" s="240"/>
      <c r="AO73" s="241"/>
      <c r="AP73" s="292" t="s">
        <v>440</v>
      </c>
      <c r="AQ73" s="302">
        <v>27.73</v>
      </c>
      <c r="AR73" s="541"/>
    </row>
    <row r="74" spans="1:44" ht="22.5" customHeight="1" x14ac:dyDescent="0.15">
      <c r="A74">
        <v>69</v>
      </c>
      <c r="B74" s="323" t="s">
        <v>112</v>
      </c>
      <c r="C74" s="324" t="s">
        <v>227</v>
      </c>
      <c r="D74" s="323" t="s">
        <v>35</v>
      </c>
      <c r="E74" s="330" t="s">
        <v>36</v>
      </c>
      <c r="F74" s="240">
        <v>43595960</v>
      </c>
      <c r="G74" s="240">
        <v>492966</v>
      </c>
      <c r="H74" s="240"/>
      <c r="I74" s="283">
        <v>188166523</v>
      </c>
      <c r="J74" s="288">
        <v>6.2</v>
      </c>
      <c r="K74" s="284">
        <v>232255450</v>
      </c>
      <c r="L74" s="241"/>
      <c r="M74" s="241"/>
      <c r="N74" s="241"/>
      <c r="O74" s="241"/>
      <c r="P74" s="240"/>
      <c r="Q74" s="241"/>
      <c r="R74" s="240"/>
      <c r="S74" s="241"/>
      <c r="T74" s="305"/>
      <c r="U74" s="288"/>
      <c r="V74" s="306"/>
      <c r="W74" s="240">
        <v>232255450</v>
      </c>
      <c r="X74" s="240"/>
      <c r="Y74" s="290" t="s">
        <v>440</v>
      </c>
      <c r="Z74" s="499" t="s">
        <v>256</v>
      </c>
      <c r="AA74" s="241">
        <v>1539.3</v>
      </c>
      <c r="AB74" s="5"/>
      <c r="AC74" s="241"/>
      <c r="AD74" s="5"/>
      <c r="AE74" s="241"/>
      <c r="AF74" s="5"/>
      <c r="AG74" s="241"/>
      <c r="AH74" s="240">
        <v>150883</v>
      </c>
      <c r="AI74" s="241"/>
      <c r="AJ74" s="241"/>
      <c r="AK74" s="241"/>
      <c r="AL74" s="241"/>
      <c r="AM74" s="240">
        <v>634577</v>
      </c>
      <c r="AN74" s="240">
        <v>37460556</v>
      </c>
      <c r="AO74" s="241"/>
      <c r="AP74" s="292" t="s">
        <v>440</v>
      </c>
      <c r="AQ74" s="302">
        <v>18.77</v>
      </c>
      <c r="AR74" s="541"/>
    </row>
    <row r="75" spans="1:44" ht="22.5" customHeight="1" x14ac:dyDescent="0.15">
      <c r="A75">
        <v>70</v>
      </c>
      <c r="B75" s="323" t="s">
        <v>112</v>
      </c>
      <c r="C75" s="324" t="s">
        <v>113</v>
      </c>
      <c r="D75" s="328" t="s">
        <v>35</v>
      </c>
      <c r="E75" s="328" t="s">
        <v>36</v>
      </c>
      <c r="F75" s="240">
        <v>29532747</v>
      </c>
      <c r="G75" s="240">
        <v>3365776</v>
      </c>
      <c r="H75" s="240"/>
      <c r="I75" s="283">
        <v>82956815</v>
      </c>
      <c r="J75" s="288">
        <v>4.2</v>
      </c>
      <c r="K75" s="284">
        <v>115855338</v>
      </c>
      <c r="L75" s="241"/>
      <c r="M75" s="241"/>
      <c r="N75" s="241"/>
      <c r="O75" s="241"/>
      <c r="P75" s="240"/>
      <c r="Q75" s="241"/>
      <c r="R75" s="240"/>
      <c r="S75" s="241"/>
      <c r="T75" s="305"/>
      <c r="U75" s="288"/>
      <c r="V75" s="306"/>
      <c r="W75" s="240">
        <v>115855338</v>
      </c>
      <c r="X75" s="240"/>
      <c r="Y75" s="290" t="s">
        <v>440</v>
      </c>
      <c r="Z75" s="5" t="s">
        <v>231</v>
      </c>
      <c r="AA75" s="241">
        <v>6256523511</v>
      </c>
      <c r="AB75" s="5" t="s">
        <v>257</v>
      </c>
      <c r="AC75" s="241">
        <v>428</v>
      </c>
      <c r="AD75" s="5"/>
      <c r="AE75" s="241"/>
      <c r="AF75" s="5"/>
      <c r="AG75" s="241"/>
      <c r="AH75" s="312">
        <v>1.8499999999999999E-2</v>
      </c>
      <c r="AI75" s="241">
        <v>270690</v>
      </c>
      <c r="AJ75" s="241"/>
      <c r="AK75" s="241"/>
      <c r="AL75" s="313">
        <v>0.9</v>
      </c>
      <c r="AM75" s="240">
        <v>316545</v>
      </c>
      <c r="AN75" s="240">
        <v>27584605</v>
      </c>
      <c r="AO75" s="241"/>
      <c r="AP75" s="292" t="s">
        <v>440</v>
      </c>
      <c r="AQ75" s="302">
        <v>25.49</v>
      </c>
      <c r="AR75" s="541" t="s">
        <v>148</v>
      </c>
    </row>
    <row r="76" spans="1:44" ht="22.5" customHeight="1" x14ac:dyDescent="0.15">
      <c r="A76">
        <v>71</v>
      </c>
      <c r="B76" s="328" t="s">
        <v>112</v>
      </c>
      <c r="C76" s="327" t="s">
        <v>342</v>
      </c>
      <c r="D76" s="328" t="s">
        <v>338</v>
      </c>
      <c r="E76" s="328" t="s">
        <v>339</v>
      </c>
      <c r="F76" s="240">
        <v>10547409</v>
      </c>
      <c r="G76" s="240">
        <v>1820953</v>
      </c>
      <c r="H76" s="240"/>
      <c r="I76" s="283">
        <v>43452399</v>
      </c>
      <c r="J76" s="288">
        <v>1.5</v>
      </c>
      <c r="K76" s="284">
        <v>55820761</v>
      </c>
      <c r="L76" s="241"/>
      <c r="M76" s="241"/>
      <c r="N76" s="241"/>
      <c r="O76" s="241"/>
      <c r="P76" s="240"/>
      <c r="Q76" s="241"/>
      <c r="R76" s="240"/>
      <c r="S76" s="241"/>
      <c r="T76" s="305"/>
      <c r="U76" s="288"/>
      <c r="V76" s="306"/>
      <c r="W76" s="240">
        <v>55820761</v>
      </c>
      <c r="X76" s="240">
        <v>33552000</v>
      </c>
      <c r="Y76" s="290">
        <v>60.11</v>
      </c>
      <c r="Z76" s="5" t="s">
        <v>450</v>
      </c>
      <c r="AA76" s="241">
        <v>2588</v>
      </c>
      <c r="AB76" s="5"/>
      <c r="AC76" s="241"/>
      <c r="AD76" s="5"/>
      <c r="AE76" s="241"/>
      <c r="AF76" s="5"/>
      <c r="AG76" s="241"/>
      <c r="AH76" s="240">
        <v>21569</v>
      </c>
      <c r="AI76" s="241" t="s">
        <v>440</v>
      </c>
      <c r="AJ76" s="241" t="s">
        <v>440</v>
      </c>
      <c r="AK76" s="241" t="s">
        <v>440</v>
      </c>
      <c r="AL76" s="313">
        <v>0.4</v>
      </c>
      <c r="AM76" s="240">
        <v>152515</v>
      </c>
      <c r="AN76" s="240">
        <v>37213841</v>
      </c>
      <c r="AO76" s="241"/>
      <c r="AP76" s="292"/>
      <c r="AQ76" s="302">
        <v>18.899999999999999</v>
      </c>
      <c r="AR76" s="541" t="s">
        <v>148</v>
      </c>
    </row>
    <row r="77" spans="1:44" ht="22.5" customHeight="1" x14ac:dyDescent="0.15">
      <c r="A77">
        <v>72</v>
      </c>
      <c r="B77" s="328" t="s">
        <v>112</v>
      </c>
      <c r="C77" s="327" t="s">
        <v>344</v>
      </c>
      <c r="D77" s="328" t="s">
        <v>338</v>
      </c>
      <c r="E77" s="328" t="s">
        <v>345</v>
      </c>
      <c r="F77" s="240">
        <v>703160</v>
      </c>
      <c r="G77" s="240">
        <v>3160930</v>
      </c>
      <c r="H77" s="240" t="s">
        <v>440</v>
      </c>
      <c r="I77" s="283"/>
      <c r="J77" s="288">
        <v>0.1</v>
      </c>
      <c r="K77" s="284">
        <v>3864091</v>
      </c>
      <c r="L77" s="241">
        <v>1232971220</v>
      </c>
      <c r="M77" s="241">
        <v>436496265</v>
      </c>
      <c r="N77" s="241"/>
      <c r="O77" s="241">
        <v>395295751</v>
      </c>
      <c r="P77" s="240">
        <v>1232971220</v>
      </c>
      <c r="Q77" s="241">
        <v>669554</v>
      </c>
      <c r="R77" s="240">
        <v>831792016</v>
      </c>
      <c r="S77" s="241"/>
      <c r="T77" s="305"/>
      <c r="U77" s="288">
        <v>145</v>
      </c>
      <c r="V77" s="306">
        <v>2065432790</v>
      </c>
      <c r="W77" s="240">
        <v>2069296881</v>
      </c>
      <c r="X77" s="240">
        <v>1680379677</v>
      </c>
      <c r="Y77" s="290">
        <v>81.209999999999994</v>
      </c>
      <c r="Z77" s="5" t="s">
        <v>451</v>
      </c>
      <c r="AA77" s="241">
        <v>461138</v>
      </c>
      <c r="AB77" s="5"/>
      <c r="AC77" s="241"/>
      <c r="AD77" s="5"/>
      <c r="AE77" s="241"/>
      <c r="AF77" s="5"/>
      <c r="AG77" s="241"/>
      <c r="AH77" s="240">
        <v>4487</v>
      </c>
      <c r="AI77" s="241" t="s">
        <v>440</v>
      </c>
      <c r="AJ77" s="241" t="s">
        <v>440</v>
      </c>
      <c r="AK77" s="241" t="s">
        <v>440</v>
      </c>
      <c r="AL77" s="241">
        <v>16</v>
      </c>
      <c r="AM77" s="240">
        <v>5653816</v>
      </c>
      <c r="AN77" s="240">
        <v>14261177</v>
      </c>
      <c r="AO77" s="241"/>
      <c r="AP77" s="292"/>
      <c r="AQ77" s="302">
        <v>59.65</v>
      </c>
      <c r="AR77" s="541" t="s">
        <v>149</v>
      </c>
    </row>
    <row r="78" spans="1:44" ht="22.5" customHeight="1" x14ac:dyDescent="0.15">
      <c r="A78">
        <v>73</v>
      </c>
      <c r="B78" s="323" t="s">
        <v>112</v>
      </c>
      <c r="C78" s="324" t="s">
        <v>197</v>
      </c>
      <c r="D78" s="328" t="s">
        <v>35</v>
      </c>
      <c r="E78" s="328" t="s">
        <v>38</v>
      </c>
      <c r="F78" s="240">
        <v>65393940</v>
      </c>
      <c r="G78" s="240">
        <v>16063184</v>
      </c>
      <c r="H78" s="240"/>
      <c r="I78" s="283">
        <v>17160760</v>
      </c>
      <c r="J78" s="288">
        <v>9.3000000000000007</v>
      </c>
      <c r="K78" s="284">
        <v>98617885</v>
      </c>
      <c r="L78" s="241">
        <v>618548803</v>
      </c>
      <c r="M78" s="241">
        <v>175072573</v>
      </c>
      <c r="N78" s="241">
        <v>193053558</v>
      </c>
      <c r="O78" s="241">
        <v>69956884</v>
      </c>
      <c r="P78" s="240">
        <v>811602361</v>
      </c>
      <c r="Q78" s="241">
        <v>-290701</v>
      </c>
      <c r="R78" s="240">
        <v>245029457</v>
      </c>
      <c r="S78" s="241">
        <v>68514418</v>
      </c>
      <c r="T78" s="305"/>
      <c r="U78" s="288">
        <v>67.8</v>
      </c>
      <c r="V78" s="306">
        <v>1124855536</v>
      </c>
      <c r="W78" s="240">
        <v>1223473421</v>
      </c>
      <c r="X78" s="240">
        <v>214171640</v>
      </c>
      <c r="Y78" s="290">
        <v>17.510000000000002</v>
      </c>
      <c r="Z78" s="309" t="s">
        <v>262</v>
      </c>
      <c r="AA78" s="241">
        <v>2166</v>
      </c>
      <c r="AB78" s="499" t="s">
        <v>258</v>
      </c>
      <c r="AC78" s="241">
        <v>268</v>
      </c>
      <c r="AD78" s="5"/>
      <c r="AE78" s="241"/>
      <c r="AF78" s="5"/>
      <c r="AG78" s="241"/>
      <c r="AH78" s="240">
        <v>564853</v>
      </c>
      <c r="AI78" s="241">
        <v>4565199</v>
      </c>
      <c r="AJ78" s="241"/>
      <c r="AK78" s="241"/>
      <c r="AL78" s="241">
        <v>9</v>
      </c>
      <c r="AM78" s="240">
        <v>3342823</v>
      </c>
      <c r="AN78" s="240">
        <v>15868656</v>
      </c>
      <c r="AO78" s="241"/>
      <c r="AP78" s="292" t="s">
        <v>440</v>
      </c>
      <c r="AQ78" s="302">
        <v>71.66</v>
      </c>
      <c r="AR78" s="541" t="s">
        <v>149</v>
      </c>
    </row>
    <row r="79" spans="1:44" ht="22.5" customHeight="1" x14ac:dyDescent="0.15">
      <c r="A79">
        <v>74</v>
      </c>
      <c r="B79" s="328" t="s">
        <v>114</v>
      </c>
      <c r="C79" s="327" t="s">
        <v>340</v>
      </c>
      <c r="D79" s="328" t="s">
        <v>338</v>
      </c>
      <c r="E79" s="328" t="s">
        <v>339</v>
      </c>
      <c r="F79" s="240">
        <v>28829586</v>
      </c>
      <c r="G79" s="240">
        <v>26403036</v>
      </c>
      <c r="H79" s="240">
        <v>5217290</v>
      </c>
      <c r="I79" s="283">
        <v>5069826374</v>
      </c>
      <c r="J79" s="288">
        <v>4.0999999999999996</v>
      </c>
      <c r="K79" s="284">
        <v>5130276288</v>
      </c>
      <c r="L79" s="241"/>
      <c r="M79" s="241"/>
      <c r="N79" s="241"/>
      <c r="O79" s="241"/>
      <c r="P79" s="240"/>
      <c r="Q79" s="241"/>
      <c r="R79" s="240"/>
      <c r="S79" s="241"/>
      <c r="T79" s="305"/>
      <c r="U79" s="288"/>
      <c r="V79" s="306"/>
      <c r="W79" s="240">
        <v>5130276288</v>
      </c>
      <c r="X79" s="240"/>
      <c r="Y79" s="290"/>
      <c r="Z79" s="5" t="s">
        <v>259</v>
      </c>
      <c r="AA79" s="241">
        <v>46</v>
      </c>
      <c r="AB79" s="5"/>
      <c r="AC79" s="241"/>
      <c r="AD79" s="5"/>
      <c r="AE79" s="241"/>
      <c r="AF79" s="5"/>
      <c r="AG79" s="241"/>
      <c r="AH79" s="240">
        <v>111527745</v>
      </c>
      <c r="AI79" s="241" t="s">
        <v>440</v>
      </c>
      <c r="AJ79" s="241" t="s">
        <v>440</v>
      </c>
      <c r="AK79" s="241" t="s">
        <v>440</v>
      </c>
      <c r="AL79" s="241">
        <v>40</v>
      </c>
      <c r="AM79" s="240">
        <v>14017148</v>
      </c>
      <c r="AN79" s="240">
        <v>1251286899</v>
      </c>
      <c r="AO79" s="241"/>
      <c r="AP79" s="292"/>
      <c r="AQ79" s="302">
        <v>0.56000000000000005</v>
      </c>
      <c r="AR79" s="541" t="s">
        <v>148</v>
      </c>
    </row>
    <row r="80" spans="1:44" ht="22.5" customHeight="1" x14ac:dyDescent="0.15">
      <c r="A80">
        <v>75</v>
      </c>
      <c r="B80" s="328" t="s">
        <v>114</v>
      </c>
      <c r="C80" s="327" t="s">
        <v>439</v>
      </c>
      <c r="D80" s="328" t="s">
        <v>338</v>
      </c>
      <c r="E80" s="328" t="s">
        <v>339</v>
      </c>
      <c r="F80" s="240">
        <v>4218963</v>
      </c>
      <c r="G80" s="240">
        <v>1692288</v>
      </c>
      <c r="H80" s="240">
        <v>851646</v>
      </c>
      <c r="I80" s="283">
        <v>135268611</v>
      </c>
      <c r="J80" s="288">
        <v>0.6</v>
      </c>
      <c r="K80" s="284">
        <v>142031510</v>
      </c>
      <c r="L80" s="241"/>
      <c r="M80" s="241"/>
      <c r="N80" s="241"/>
      <c r="O80" s="241"/>
      <c r="P80" s="240"/>
      <c r="Q80" s="241"/>
      <c r="R80" s="240"/>
      <c r="S80" s="241"/>
      <c r="T80" s="305"/>
      <c r="U80" s="288"/>
      <c r="V80" s="306"/>
      <c r="W80" s="240">
        <v>142031510</v>
      </c>
      <c r="X80" s="240"/>
      <c r="Y80" s="290"/>
      <c r="Z80" s="5" t="s">
        <v>375</v>
      </c>
      <c r="AA80" s="241">
        <v>7</v>
      </c>
      <c r="AB80" s="5"/>
      <c r="AC80" s="241"/>
      <c r="AD80" s="5"/>
      <c r="AE80" s="241"/>
      <c r="AF80" s="5"/>
      <c r="AG80" s="241"/>
      <c r="AH80" s="240">
        <v>20290215</v>
      </c>
      <c r="AI80" s="241" t="s">
        <v>440</v>
      </c>
      <c r="AJ80" s="241" t="s">
        <v>440</v>
      </c>
      <c r="AK80" s="241" t="s">
        <v>440</v>
      </c>
      <c r="AL80" s="241">
        <v>1</v>
      </c>
      <c r="AM80" s="240">
        <v>388064</v>
      </c>
      <c r="AN80" s="240"/>
      <c r="AO80" s="241"/>
      <c r="AP80" s="292"/>
      <c r="AQ80" s="302">
        <v>2.97</v>
      </c>
      <c r="AR80" s="541" t="s">
        <v>148</v>
      </c>
    </row>
    <row r="81" spans="1:44" ht="22.5" customHeight="1" x14ac:dyDescent="0.15">
      <c r="A81">
        <v>76</v>
      </c>
      <c r="B81" s="328" t="s">
        <v>114</v>
      </c>
      <c r="C81" s="327" t="s">
        <v>341</v>
      </c>
      <c r="D81" s="328" t="s">
        <v>338</v>
      </c>
      <c r="E81" s="328" t="s">
        <v>339</v>
      </c>
      <c r="F81" s="240">
        <v>7031606</v>
      </c>
      <c r="G81" s="240">
        <v>3423133</v>
      </c>
      <c r="H81" s="240">
        <v>1000490</v>
      </c>
      <c r="I81" s="283">
        <v>58160408</v>
      </c>
      <c r="J81" s="288">
        <v>1</v>
      </c>
      <c r="K81" s="284">
        <v>69615638</v>
      </c>
      <c r="L81" s="241"/>
      <c r="M81" s="241"/>
      <c r="N81" s="241"/>
      <c r="O81" s="241"/>
      <c r="P81" s="240"/>
      <c r="Q81" s="241"/>
      <c r="R81" s="240"/>
      <c r="S81" s="241"/>
      <c r="T81" s="305"/>
      <c r="U81" s="288"/>
      <c r="V81" s="306"/>
      <c r="W81" s="240">
        <v>69615638</v>
      </c>
      <c r="X81" s="240">
        <v>10579200</v>
      </c>
      <c r="Y81" s="290">
        <v>15.2</v>
      </c>
      <c r="Z81" s="5" t="s">
        <v>450</v>
      </c>
      <c r="AA81" s="241">
        <v>1653</v>
      </c>
      <c r="AB81" s="5"/>
      <c r="AC81" s="241"/>
      <c r="AD81" s="5"/>
      <c r="AE81" s="241"/>
      <c r="AF81" s="5"/>
      <c r="AG81" s="241"/>
      <c r="AH81" s="240">
        <v>42114</v>
      </c>
      <c r="AI81" s="241" t="s">
        <v>440</v>
      </c>
      <c r="AJ81" s="241" t="s">
        <v>440</v>
      </c>
      <c r="AK81" s="241" t="s">
        <v>440</v>
      </c>
      <c r="AL81" s="313">
        <v>0.5</v>
      </c>
      <c r="AM81" s="240">
        <v>190206</v>
      </c>
      <c r="AN81" s="240">
        <v>69615638</v>
      </c>
      <c r="AO81" s="241"/>
      <c r="AP81" s="292"/>
      <c r="AQ81" s="302">
        <v>10.1</v>
      </c>
      <c r="AR81" s="541" t="s">
        <v>148</v>
      </c>
    </row>
    <row r="82" spans="1:44" ht="22.5" customHeight="1" x14ac:dyDescent="0.15">
      <c r="A82">
        <v>77</v>
      </c>
      <c r="B82" s="331" t="s">
        <v>114</v>
      </c>
      <c r="C82" s="324" t="s">
        <v>116</v>
      </c>
      <c r="D82" s="328" t="s">
        <v>35</v>
      </c>
      <c r="E82" s="328" t="s">
        <v>36</v>
      </c>
      <c r="F82" s="240">
        <v>5625285</v>
      </c>
      <c r="G82" s="240">
        <v>3960313</v>
      </c>
      <c r="H82" s="546">
        <v>49671</v>
      </c>
      <c r="I82" s="283">
        <v>1158662</v>
      </c>
      <c r="J82" s="288">
        <v>0.8</v>
      </c>
      <c r="K82" s="284">
        <v>10793932</v>
      </c>
      <c r="L82" s="241"/>
      <c r="M82" s="241"/>
      <c r="N82" s="241"/>
      <c r="O82" s="241"/>
      <c r="P82" s="240"/>
      <c r="Q82" s="241"/>
      <c r="R82" s="240"/>
      <c r="S82" s="241"/>
      <c r="T82" s="305"/>
      <c r="U82" s="288"/>
      <c r="V82" s="306"/>
      <c r="W82" s="240">
        <v>10793932</v>
      </c>
      <c r="X82" s="240">
        <v>3434504</v>
      </c>
      <c r="Y82" s="290">
        <v>31.82</v>
      </c>
      <c r="Z82" s="5" t="s">
        <v>241</v>
      </c>
      <c r="AA82" s="241">
        <v>72</v>
      </c>
      <c r="AB82" s="5"/>
      <c r="AC82" s="241"/>
      <c r="AD82" s="5"/>
      <c r="AE82" s="241"/>
      <c r="AF82" s="5"/>
      <c r="AG82" s="241"/>
      <c r="AH82" s="240">
        <v>149915</v>
      </c>
      <c r="AI82" s="241"/>
      <c r="AJ82" s="241"/>
      <c r="AK82" s="241"/>
      <c r="AL82" s="314">
        <v>0.08</v>
      </c>
      <c r="AM82" s="240">
        <v>29491</v>
      </c>
      <c r="AN82" s="240"/>
      <c r="AO82" s="241"/>
      <c r="AP82" s="292" t="s">
        <v>440</v>
      </c>
      <c r="AQ82" s="302">
        <v>52.12</v>
      </c>
      <c r="AR82" s="541" t="s">
        <v>148</v>
      </c>
    </row>
    <row r="83" spans="1:44" ht="22.5" customHeight="1" x14ac:dyDescent="0.15">
      <c r="A83">
        <v>78</v>
      </c>
      <c r="B83" s="331" t="s">
        <v>114</v>
      </c>
      <c r="C83" s="324" t="s">
        <v>115</v>
      </c>
      <c r="D83" s="328" t="s">
        <v>87</v>
      </c>
      <c r="E83" s="328" t="s">
        <v>38</v>
      </c>
      <c r="F83" s="240">
        <v>33751711</v>
      </c>
      <c r="G83" s="240">
        <v>21854138</v>
      </c>
      <c r="H83" s="240">
        <v>6604096</v>
      </c>
      <c r="I83" s="283">
        <v>130381290</v>
      </c>
      <c r="J83" s="288">
        <v>4.8</v>
      </c>
      <c r="K83" s="284">
        <v>192591236</v>
      </c>
      <c r="L83" s="241"/>
      <c r="M83" s="241"/>
      <c r="N83" s="241"/>
      <c r="O83" s="241"/>
      <c r="P83" s="240"/>
      <c r="Q83" s="241"/>
      <c r="R83" s="240"/>
      <c r="S83" s="241"/>
      <c r="T83" s="305"/>
      <c r="U83" s="288"/>
      <c r="V83" s="306"/>
      <c r="W83" s="240">
        <v>192591236</v>
      </c>
      <c r="X83" s="240"/>
      <c r="Y83" s="290" t="s">
        <v>440</v>
      </c>
      <c r="Z83" s="5" t="s">
        <v>259</v>
      </c>
      <c r="AA83" s="241">
        <v>170</v>
      </c>
      <c r="AB83" s="5"/>
      <c r="AC83" s="241"/>
      <c r="AD83" s="5"/>
      <c r="AE83" s="241"/>
      <c r="AF83" s="5"/>
      <c r="AG83" s="241"/>
      <c r="AH83" s="240">
        <v>1132889</v>
      </c>
      <c r="AI83" s="241"/>
      <c r="AJ83" s="241"/>
      <c r="AK83" s="241"/>
      <c r="AL83" s="241">
        <v>1</v>
      </c>
      <c r="AM83" s="240">
        <v>526205</v>
      </c>
      <c r="AN83" s="240">
        <v>40123174</v>
      </c>
      <c r="AO83" s="241">
        <v>5018542929</v>
      </c>
      <c r="AP83" s="292">
        <v>3.84</v>
      </c>
      <c r="AQ83" s="302">
        <v>17.53</v>
      </c>
      <c r="AR83" s="541" t="s">
        <v>151</v>
      </c>
    </row>
    <row r="84" spans="1:44" ht="22.5" customHeight="1" x14ac:dyDescent="0.15">
      <c r="A84">
        <v>79</v>
      </c>
      <c r="B84" s="328" t="s">
        <v>117</v>
      </c>
      <c r="C84" s="327" t="s">
        <v>336</v>
      </c>
      <c r="D84" s="328" t="s">
        <v>338</v>
      </c>
      <c r="E84" s="328" t="s">
        <v>339</v>
      </c>
      <c r="F84" s="240">
        <v>1617269505</v>
      </c>
      <c r="G84" s="240">
        <v>2141537547</v>
      </c>
      <c r="H84" s="240">
        <v>88136642</v>
      </c>
      <c r="I84" s="283">
        <v>862675544</v>
      </c>
      <c r="J84" s="288">
        <v>230</v>
      </c>
      <c r="K84" s="284">
        <v>4709619239</v>
      </c>
      <c r="L84" s="241"/>
      <c r="M84" s="241"/>
      <c r="N84" s="241"/>
      <c r="O84" s="241"/>
      <c r="P84" s="240"/>
      <c r="Q84" s="241"/>
      <c r="R84" s="240"/>
      <c r="S84" s="241"/>
      <c r="T84" s="305"/>
      <c r="U84" s="288"/>
      <c r="V84" s="306"/>
      <c r="W84" s="240">
        <v>4709619239</v>
      </c>
      <c r="X84" s="240"/>
      <c r="Y84" s="290"/>
      <c r="Z84" s="5" t="s">
        <v>376</v>
      </c>
      <c r="AA84" s="241">
        <v>680</v>
      </c>
      <c r="AB84" s="5"/>
      <c r="AC84" s="241"/>
      <c r="AD84" s="5"/>
      <c r="AE84" s="241"/>
      <c r="AF84" s="5"/>
      <c r="AG84" s="241"/>
      <c r="AH84" s="240">
        <v>6925910</v>
      </c>
      <c r="AI84" s="241" t="s">
        <v>440</v>
      </c>
      <c r="AJ84" s="241" t="s">
        <v>440</v>
      </c>
      <c r="AK84" s="241" t="s">
        <v>440</v>
      </c>
      <c r="AL84" s="241">
        <v>37</v>
      </c>
      <c r="AM84" s="240">
        <v>12867812</v>
      </c>
      <c r="AN84" s="240">
        <v>20476605</v>
      </c>
      <c r="AO84" s="241"/>
      <c r="AP84" s="292"/>
      <c r="AQ84" s="302">
        <v>34.340000000000003</v>
      </c>
      <c r="AR84" s="541" t="s">
        <v>148</v>
      </c>
    </row>
    <row r="85" spans="1:44" ht="22.5" customHeight="1" x14ac:dyDescent="0.15">
      <c r="A85">
        <v>80</v>
      </c>
      <c r="B85" s="328" t="s">
        <v>117</v>
      </c>
      <c r="C85" s="327" t="s">
        <v>335</v>
      </c>
      <c r="D85" s="328" t="s">
        <v>338</v>
      </c>
      <c r="E85" s="328" t="s">
        <v>339</v>
      </c>
      <c r="F85" s="240">
        <v>2791547799</v>
      </c>
      <c r="G85" s="240">
        <v>1579227526</v>
      </c>
      <c r="H85" s="240">
        <v>409214602</v>
      </c>
      <c r="I85" s="283">
        <v>1084061554</v>
      </c>
      <c r="J85" s="288">
        <v>397</v>
      </c>
      <c r="K85" s="284">
        <v>5864051481</v>
      </c>
      <c r="L85" s="241"/>
      <c r="M85" s="241"/>
      <c r="N85" s="241"/>
      <c r="O85" s="241"/>
      <c r="P85" s="240"/>
      <c r="Q85" s="241"/>
      <c r="R85" s="240"/>
      <c r="S85" s="241"/>
      <c r="T85" s="305"/>
      <c r="U85" s="288"/>
      <c r="V85" s="306"/>
      <c r="W85" s="240">
        <v>5864051481</v>
      </c>
      <c r="X85" s="240"/>
      <c r="Y85" s="290"/>
      <c r="Z85" s="5" t="s">
        <v>376</v>
      </c>
      <c r="AA85" s="241">
        <v>2120</v>
      </c>
      <c r="AB85" s="5"/>
      <c r="AC85" s="241"/>
      <c r="AD85" s="5"/>
      <c r="AE85" s="241"/>
      <c r="AF85" s="5"/>
      <c r="AG85" s="241"/>
      <c r="AH85" s="240">
        <v>2766062</v>
      </c>
      <c r="AI85" s="241" t="s">
        <v>440</v>
      </c>
      <c r="AJ85" s="241" t="s">
        <v>440</v>
      </c>
      <c r="AK85" s="241" t="s">
        <v>440</v>
      </c>
      <c r="AL85" s="241">
        <v>46</v>
      </c>
      <c r="AM85" s="240">
        <v>16021998</v>
      </c>
      <c r="AN85" s="240">
        <v>14770910</v>
      </c>
      <c r="AO85" s="241"/>
      <c r="AP85" s="292"/>
      <c r="AQ85" s="302">
        <v>47.6</v>
      </c>
      <c r="AR85" s="541" t="s">
        <v>148</v>
      </c>
    </row>
    <row r="86" spans="1:44" ht="22.5" customHeight="1" x14ac:dyDescent="0.15">
      <c r="A86">
        <v>81</v>
      </c>
      <c r="B86" s="328" t="s">
        <v>117</v>
      </c>
      <c r="C86" s="327" t="s">
        <v>337</v>
      </c>
      <c r="D86" s="328" t="s">
        <v>338</v>
      </c>
      <c r="E86" s="328" t="s">
        <v>339</v>
      </c>
      <c r="F86" s="240">
        <v>26720104</v>
      </c>
      <c r="G86" s="240">
        <v>12469353</v>
      </c>
      <c r="H86" s="240">
        <v>377386</v>
      </c>
      <c r="I86" s="283"/>
      <c r="J86" s="288">
        <v>3.8</v>
      </c>
      <c r="K86" s="284">
        <v>39566844</v>
      </c>
      <c r="L86" s="241"/>
      <c r="M86" s="241"/>
      <c r="N86" s="241"/>
      <c r="O86" s="241"/>
      <c r="P86" s="240"/>
      <c r="Q86" s="241"/>
      <c r="R86" s="240"/>
      <c r="S86" s="241"/>
      <c r="T86" s="305"/>
      <c r="U86" s="288"/>
      <c r="V86" s="306"/>
      <c r="W86" s="240">
        <v>39566844</v>
      </c>
      <c r="X86" s="240"/>
      <c r="Y86" s="290"/>
      <c r="Z86" s="499" t="s">
        <v>500</v>
      </c>
      <c r="AA86" s="241">
        <v>4099</v>
      </c>
      <c r="AB86" s="5"/>
      <c r="AC86" s="241"/>
      <c r="AD86" s="5"/>
      <c r="AE86" s="241"/>
      <c r="AF86" s="5"/>
      <c r="AG86" s="241"/>
      <c r="AH86" s="240">
        <v>9652</v>
      </c>
      <c r="AI86" s="241" t="s">
        <v>440</v>
      </c>
      <c r="AJ86" s="241" t="s">
        <v>440</v>
      </c>
      <c r="AK86" s="241" t="s">
        <v>440</v>
      </c>
      <c r="AL86" s="313">
        <v>0.3</v>
      </c>
      <c r="AM86" s="240">
        <v>108106</v>
      </c>
      <c r="AN86" s="240">
        <v>10412327</v>
      </c>
      <c r="AO86" s="241"/>
      <c r="AP86" s="292"/>
      <c r="AQ86" s="302">
        <v>67.53</v>
      </c>
      <c r="AR86" s="541" t="s">
        <v>148</v>
      </c>
    </row>
    <row r="87" spans="1:44" ht="18" customHeight="1" x14ac:dyDescent="0.15">
      <c r="B87" s="538" t="s">
        <v>493</v>
      </c>
    </row>
    <row r="88" spans="1:44" ht="18" customHeight="1" x14ac:dyDescent="0.15">
      <c r="B88" s="539" t="s">
        <v>494</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156</v>
      </c>
      <c r="G96" s="1" t="s">
        <v>145</v>
      </c>
      <c r="H96" s="1" t="s">
        <v>146</v>
      </c>
      <c r="X96" s="3"/>
      <c r="Y96" s="106"/>
      <c r="AO96" s="3"/>
      <c r="AP96" s="106"/>
      <c r="AQ96" s="106"/>
    </row>
    <row r="97" spans="5:43" x14ac:dyDescent="0.15">
      <c r="E97" s="3" t="s">
        <v>148</v>
      </c>
      <c r="F97" s="106">
        <f>AQ98</f>
        <v>28.005999999999993</v>
      </c>
      <c r="G97" s="106">
        <f>Y98</f>
        <v>55.596000000000011</v>
      </c>
      <c r="H97" s="106" t="e">
        <f>AP98</f>
        <v>#DIV/0!</v>
      </c>
      <c r="X97" s="3"/>
      <c r="Y97" s="106"/>
      <c r="AO97" s="3"/>
      <c r="AP97" s="106"/>
      <c r="AQ97" s="106"/>
    </row>
    <row r="98" spans="5:43" x14ac:dyDescent="0.15">
      <c r="E98" s="3" t="s">
        <v>152</v>
      </c>
      <c r="F98" s="106">
        <f t="shared" ref="F98:F100" si="0">AQ99</f>
        <v>40.614999999999995</v>
      </c>
      <c r="G98" s="106">
        <f t="shared" ref="G98:G100" si="1">Y99</f>
        <v>27.835333333333335</v>
      </c>
      <c r="H98" s="106" t="e">
        <f t="shared" ref="H98:H100" si="2">AP99</f>
        <v>#DIV/0!</v>
      </c>
      <c r="X98" s="3" t="s">
        <v>155</v>
      </c>
      <c r="Y98" s="106">
        <f>AVERAGEIF($AR$6:$AR$86,"=直接行政サービス事業（直接型）",Y$6:Y$86)</f>
        <v>55.596000000000011</v>
      </c>
      <c r="AO98" s="3" t="s">
        <v>148</v>
      </c>
      <c r="AP98" s="106" t="e">
        <f>AVERAGEIF($AR$6:$AR$86,"=直接行政サービス事業（直接型）",AP$6:AP$86)</f>
        <v>#DIV/0!</v>
      </c>
      <c r="AQ98" s="106">
        <f>AVERAGEIF($AR$6:$AR$86,"=直接行政サービス事業（直接型）",AQ$6:AQ$86)</f>
        <v>28.005999999999993</v>
      </c>
    </row>
    <row r="99" spans="5:43" x14ac:dyDescent="0.15">
      <c r="E99" s="3" t="s">
        <v>153</v>
      </c>
      <c r="F99" s="106">
        <f t="shared" si="0"/>
        <v>35.708333333333336</v>
      </c>
      <c r="G99" s="106" t="e">
        <f t="shared" si="1"/>
        <v>#DIV/0!</v>
      </c>
      <c r="H99" s="106">
        <f t="shared" si="2"/>
        <v>3.7233333333333332</v>
      </c>
      <c r="X99" s="3" t="s">
        <v>152</v>
      </c>
      <c r="Y99" s="106">
        <f>AVERAGEIF($AR$6:$AR$86,"=直接行政サービス事業（間接型）",Y$6:Y$86)</f>
        <v>27.835333333333335</v>
      </c>
      <c r="AO99" s="3" t="s">
        <v>152</v>
      </c>
      <c r="AP99" s="106" t="e">
        <f>AVERAGEIF($AR$6:$AR$86,"=直接行政サービス事業（間接型）",AP$6:AP$86)</f>
        <v>#DIV/0!</v>
      </c>
      <c r="AQ99" s="106">
        <f>AVERAGEIF($AR$6:$AR$86,"=直接行政サービス事業（間接型）",AQ$6:AQ$86)</f>
        <v>40.614999999999995</v>
      </c>
    </row>
    <row r="100" spans="5:43" x14ac:dyDescent="0.15">
      <c r="E100" s="3" t="s">
        <v>154</v>
      </c>
      <c r="F100" s="106">
        <f t="shared" si="0"/>
        <v>22.496666666666666</v>
      </c>
      <c r="G100" s="106">
        <f t="shared" si="1"/>
        <v>56.43</v>
      </c>
      <c r="H100" s="106">
        <f t="shared" si="2"/>
        <v>4.4383333333333335</v>
      </c>
      <c r="X100" s="3" t="s">
        <v>153</v>
      </c>
      <c r="Y100" s="106" t="e">
        <f>AVERAGEIF($AR$6:$AR$86,"=資源配分事業（直接型）",Y$6:Y$86)</f>
        <v>#DIV/0!</v>
      </c>
      <c r="AO100" s="3" t="s">
        <v>153</v>
      </c>
      <c r="AP100" s="106">
        <f>AVERAGEIF($AR$6:$AR$86,"=資源配分事業（直接型）",AP$6:AP$86)</f>
        <v>3.7233333333333332</v>
      </c>
      <c r="AQ100" s="106">
        <f>AVERAGEIF($AR$6:$AR$86,"=資源配分事業（直接型）",AQ$6:AQ$86)</f>
        <v>35.708333333333336</v>
      </c>
    </row>
    <row r="101" spans="5:43" x14ac:dyDescent="0.15">
      <c r="X101" s="3" t="s">
        <v>154</v>
      </c>
      <c r="Y101" s="106">
        <f>AVERAGEIF($AR$6:$AR$86,"=資源配分事業（間接型）",Y$6:Y$86)</f>
        <v>56.43</v>
      </c>
      <c r="AO101" s="3" t="s">
        <v>154</v>
      </c>
      <c r="AP101" s="106">
        <f>AVERAGEIF($AR$6:$AR$86,"=資源配分事業（間接型）",AP$6:AP$86)</f>
        <v>4.4383333333333335</v>
      </c>
      <c r="AQ101" s="106">
        <f>AVERAGEIF($AR$6:$AR$86,"=資源配分事業（間接型）",AQ$6:AQ$86)</f>
        <v>22.496666666666666</v>
      </c>
    </row>
  </sheetData>
  <sortState ref="A5:AY71">
    <sortCondition ref="A5:A71"/>
  </sortState>
  <mergeCells count="28">
    <mergeCell ref="AQ3:AQ4"/>
    <mergeCell ref="AN3:AN4"/>
    <mergeCell ref="W3:W4"/>
    <mergeCell ref="X3:X4"/>
    <mergeCell ref="Y3:Y4"/>
    <mergeCell ref="Z3:Z4"/>
    <mergeCell ref="AA3:AA4"/>
    <mergeCell ref="AB3:AB4"/>
    <mergeCell ref="AC3:AC4"/>
    <mergeCell ref="AD3:AD4"/>
    <mergeCell ref="AE3:AE4"/>
    <mergeCell ref="AF3:AF4"/>
    <mergeCell ref="AR3:AR5"/>
    <mergeCell ref="B3:B4"/>
    <mergeCell ref="C3:C4"/>
    <mergeCell ref="D3:D4"/>
    <mergeCell ref="E3:E4"/>
    <mergeCell ref="F3:K3"/>
    <mergeCell ref="L3:V3"/>
    <mergeCell ref="AG3:AG4"/>
    <mergeCell ref="AH3:AH4"/>
    <mergeCell ref="AI3:AI4"/>
    <mergeCell ref="AJ3:AJ4"/>
    <mergeCell ref="AK3:AK4"/>
    <mergeCell ref="AL3:AL4"/>
    <mergeCell ref="AM3:AM4"/>
    <mergeCell ref="AO3:AO4"/>
    <mergeCell ref="AP3:AP4"/>
  </mergeCells>
  <phoneticPr fontId="2"/>
  <pageMargins left="0.11811023622047245" right="0" top="0.35433070866141736" bottom="0.35433070866141736" header="0.31496062992125984" footer="0.31496062992125984"/>
  <pageSetup paperSize="8" scale="41"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55" zoomScaleNormal="85" zoomScaleSheetLayoutView="55" workbookViewId="0">
      <pane xSplit="3" ySplit="5" topLeftCell="T6" activePane="bottomRight" state="frozen"/>
      <selection activeCell="C72" sqref="C72:F73"/>
      <selection pane="topRight" activeCell="C72" sqref="C72:F73"/>
      <selection pane="bottomLeft" activeCell="C72" sqref="C72:F73"/>
      <selection pane="bottomRight" activeCell="AO3" sqref="AO3:AO4"/>
    </sheetView>
  </sheetViews>
  <sheetFormatPr defaultRowHeight="13.5" x14ac:dyDescent="0.15"/>
  <cols>
    <col min="1" max="1" width="4.25" customWidth="1"/>
    <col min="2" max="2" width="17.375" customWidth="1"/>
    <col min="3" max="3" width="45.125" style="2" customWidth="1"/>
    <col min="4" max="4" width="23" customWidth="1"/>
    <col min="5" max="5" width="8.25" customWidth="1"/>
    <col min="6" max="43" width="15.375" customWidth="1"/>
    <col min="44" max="44" width="32.375" customWidth="1"/>
  </cols>
  <sheetData>
    <row r="1" spans="1:44" x14ac:dyDescent="0.15">
      <c r="B1" t="s">
        <v>25</v>
      </c>
      <c r="E1" s="2"/>
      <c r="G1" s="2"/>
      <c r="I1" s="2"/>
      <c r="K1" s="2"/>
      <c r="M1" s="2"/>
      <c r="O1" s="2"/>
      <c r="Q1" s="2"/>
      <c r="S1" s="2"/>
      <c r="U1" s="2"/>
      <c r="W1" s="2"/>
      <c r="Y1" s="2"/>
      <c r="AA1" s="2"/>
      <c r="AC1" s="2"/>
      <c r="AE1" s="2"/>
      <c r="AG1" s="2"/>
      <c r="AI1" s="2"/>
      <c r="AK1" s="2"/>
      <c r="AM1" s="2"/>
      <c r="AO1" s="2"/>
      <c r="AQ1" s="2"/>
    </row>
    <row r="2" spans="1:44" ht="13.5" customHeight="1" x14ac:dyDescent="0.15">
      <c r="C2" s="272"/>
      <c r="D2" s="28"/>
      <c r="E2" s="28"/>
      <c r="F2" s="273" t="s">
        <v>26</v>
      </c>
      <c r="G2" s="273" t="s">
        <v>26</v>
      </c>
      <c r="H2" s="273" t="s">
        <v>26</v>
      </c>
      <c r="I2" s="273" t="s">
        <v>26</v>
      </c>
      <c r="J2" s="273" t="s">
        <v>27</v>
      </c>
      <c r="K2" s="273" t="s">
        <v>26</v>
      </c>
      <c r="L2" s="273"/>
      <c r="M2" s="273"/>
      <c r="N2" s="273"/>
      <c r="O2" s="273"/>
      <c r="P2" s="273" t="s">
        <v>26</v>
      </c>
      <c r="Q2" s="273" t="s">
        <v>26</v>
      </c>
      <c r="R2" s="273" t="s">
        <v>26</v>
      </c>
      <c r="S2" s="273" t="s">
        <v>26</v>
      </c>
      <c r="T2" s="273"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302</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49" t="s">
        <v>3</v>
      </c>
      <c r="H4" s="549" t="s">
        <v>309</v>
      </c>
      <c r="I4" s="275" t="s">
        <v>5</v>
      </c>
      <c r="J4" s="276" t="s">
        <v>1</v>
      </c>
      <c r="K4" s="277" t="s">
        <v>310</v>
      </c>
      <c r="L4" s="549" t="s">
        <v>311</v>
      </c>
      <c r="M4" s="549" t="s">
        <v>312</v>
      </c>
      <c r="N4" s="549" t="s">
        <v>83</v>
      </c>
      <c r="O4" s="549" t="s">
        <v>84</v>
      </c>
      <c r="P4" s="550" t="s">
        <v>313</v>
      </c>
      <c r="Q4" s="550" t="s">
        <v>7</v>
      </c>
      <c r="R4" s="550" t="s">
        <v>314</v>
      </c>
      <c r="S4" s="549" t="s">
        <v>9</v>
      </c>
      <c r="T4" s="540" t="s">
        <v>498</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48"/>
      <c r="C5" s="112">
        <v>1</v>
      </c>
      <c r="D5" s="548">
        <v>2</v>
      </c>
      <c r="E5" s="112">
        <v>3</v>
      </c>
      <c r="F5" s="112">
        <v>4</v>
      </c>
      <c r="G5" s="548">
        <v>5</v>
      </c>
      <c r="H5" s="112">
        <v>6</v>
      </c>
      <c r="I5" s="278">
        <v>7</v>
      </c>
      <c r="J5" s="279">
        <v>8</v>
      </c>
      <c r="K5" s="198" t="s">
        <v>316</v>
      </c>
      <c r="L5" s="112">
        <v>10</v>
      </c>
      <c r="M5" s="548">
        <v>11</v>
      </c>
      <c r="N5" s="112">
        <v>12</v>
      </c>
      <c r="O5" s="112">
        <v>13</v>
      </c>
      <c r="P5" s="548" t="s">
        <v>317</v>
      </c>
      <c r="Q5" s="112">
        <v>15</v>
      </c>
      <c r="R5" s="112" t="s">
        <v>318</v>
      </c>
      <c r="S5" s="548">
        <v>17</v>
      </c>
      <c r="T5" s="278">
        <v>18</v>
      </c>
      <c r="U5" s="280">
        <v>19</v>
      </c>
      <c r="V5" s="281" t="s">
        <v>319</v>
      </c>
      <c r="W5" s="112" t="s">
        <v>320</v>
      </c>
      <c r="X5" s="112">
        <v>22</v>
      </c>
      <c r="Y5" s="548" t="s">
        <v>321</v>
      </c>
      <c r="Z5" s="112">
        <v>24</v>
      </c>
      <c r="AA5" s="112">
        <v>25</v>
      </c>
      <c r="AB5" s="548">
        <v>26</v>
      </c>
      <c r="AC5" s="112">
        <v>27</v>
      </c>
      <c r="AD5" s="112">
        <v>28</v>
      </c>
      <c r="AE5" s="548">
        <v>29</v>
      </c>
      <c r="AF5" s="112">
        <v>30</v>
      </c>
      <c r="AG5" s="112">
        <v>31</v>
      </c>
      <c r="AH5" s="548" t="s">
        <v>322</v>
      </c>
      <c r="AI5" s="112" t="s">
        <v>323</v>
      </c>
      <c r="AJ5" s="112" t="s">
        <v>324</v>
      </c>
      <c r="AK5" s="548" t="s">
        <v>325</v>
      </c>
      <c r="AL5" s="112">
        <v>36</v>
      </c>
      <c r="AM5" s="112">
        <v>37</v>
      </c>
      <c r="AN5" s="548">
        <v>38</v>
      </c>
      <c r="AO5" s="112">
        <v>39</v>
      </c>
      <c r="AP5" s="112" t="s">
        <v>326</v>
      </c>
      <c r="AQ5" s="282" t="s">
        <v>378</v>
      </c>
      <c r="AR5" s="676"/>
    </row>
    <row r="6" spans="1:44" ht="22.5" customHeight="1" x14ac:dyDescent="0.15">
      <c r="A6">
        <v>1</v>
      </c>
      <c r="B6" s="323" t="s">
        <v>37</v>
      </c>
      <c r="C6" s="324" t="s">
        <v>190</v>
      </c>
      <c r="D6" s="325" t="s">
        <v>35</v>
      </c>
      <c r="E6" s="326" t="s">
        <v>36</v>
      </c>
      <c r="F6" s="240">
        <v>98303047</v>
      </c>
      <c r="G6" s="240">
        <v>121359871</v>
      </c>
      <c r="H6" s="240">
        <v>1355610</v>
      </c>
      <c r="I6" s="283">
        <v>1199732333</v>
      </c>
      <c r="J6" s="285">
        <v>15.1</v>
      </c>
      <c r="K6" s="284">
        <v>1420750862</v>
      </c>
      <c r="L6" s="240"/>
      <c r="M6" s="240"/>
      <c r="N6" s="240"/>
      <c r="O6" s="240"/>
      <c r="P6" s="240"/>
      <c r="Q6" s="240"/>
      <c r="R6" s="240"/>
      <c r="S6" s="240"/>
      <c r="T6" s="283"/>
      <c r="U6" s="289"/>
      <c r="V6" s="284"/>
      <c r="W6" s="240">
        <v>1420750862</v>
      </c>
      <c r="X6" s="240"/>
      <c r="Y6" s="290" t="s">
        <v>440</v>
      </c>
      <c r="Z6" s="291" t="s">
        <v>228</v>
      </c>
      <c r="AA6" s="240">
        <v>811</v>
      </c>
      <c r="AB6" s="4"/>
      <c r="AC6" s="240"/>
      <c r="AD6" s="4"/>
      <c r="AE6" s="240"/>
      <c r="AF6" s="4"/>
      <c r="AG6" s="240"/>
      <c r="AH6" s="240">
        <v>1751850</v>
      </c>
      <c r="AI6" s="240"/>
      <c r="AJ6" s="240"/>
      <c r="AK6" s="240"/>
      <c r="AL6" s="240">
        <v>11</v>
      </c>
      <c r="AM6" s="240">
        <v>3892468</v>
      </c>
      <c r="AN6" s="240">
        <v>93933941</v>
      </c>
      <c r="AO6" s="240"/>
      <c r="AP6" s="292" t="s">
        <v>440</v>
      </c>
      <c r="AQ6" s="302">
        <v>6.92</v>
      </c>
      <c r="AR6" s="332" t="s">
        <v>148</v>
      </c>
    </row>
    <row r="7" spans="1:44" ht="22.5" customHeight="1" x14ac:dyDescent="0.15">
      <c r="A7">
        <v>2</v>
      </c>
      <c r="B7" s="323" t="s">
        <v>37</v>
      </c>
      <c r="C7" s="324" t="s">
        <v>191</v>
      </c>
      <c r="D7" s="325" t="s">
        <v>35</v>
      </c>
      <c r="E7" s="326" t="s">
        <v>36</v>
      </c>
      <c r="F7" s="240"/>
      <c r="G7" s="240"/>
      <c r="H7" s="240"/>
      <c r="I7" s="283"/>
      <c r="J7" s="285"/>
      <c r="K7" s="284"/>
      <c r="L7" s="240"/>
      <c r="M7" s="240"/>
      <c r="N7" s="240"/>
      <c r="O7" s="240"/>
      <c r="P7" s="240"/>
      <c r="Q7" s="240"/>
      <c r="R7" s="240"/>
      <c r="S7" s="240"/>
      <c r="T7" s="283"/>
      <c r="U7" s="288"/>
      <c r="V7" s="284"/>
      <c r="W7" s="240"/>
      <c r="X7" s="240"/>
      <c r="Y7" s="290"/>
      <c r="Z7" s="5" t="s">
        <v>229</v>
      </c>
      <c r="AA7" s="240"/>
      <c r="AB7" s="4"/>
      <c r="AC7" s="240"/>
      <c r="AD7" s="4"/>
      <c r="AE7" s="240"/>
      <c r="AF7" s="4"/>
      <c r="AG7" s="240"/>
      <c r="AH7" s="240"/>
      <c r="AI7" s="240"/>
      <c r="AJ7" s="240"/>
      <c r="AK7" s="240"/>
      <c r="AL7" s="240"/>
      <c r="AM7" s="240"/>
      <c r="AN7" s="240"/>
      <c r="AO7" s="240"/>
      <c r="AP7" s="292" t="s">
        <v>440</v>
      </c>
      <c r="AQ7" s="302" t="s">
        <v>440</v>
      </c>
      <c r="AR7" s="332" t="s">
        <v>148</v>
      </c>
    </row>
    <row r="8" spans="1:44" ht="22.5" customHeight="1" x14ac:dyDescent="0.15">
      <c r="A8">
        <v>3</v>
      </c>
      <c r="B8" s="323" t="s">
        <v>37</v>
      </c>
      <c r="C8" s="324" t="s">
        <v>189</v>
      </c>
      <c r="D8" s="325" t="s">
        <v>35</v>
      </c>
      <c r="E8" s="326" t="s">
        <v>36</v>
      </c>
      <c r="F8" s="240"/>
      <c r="G8" s="240"/>
      <c r="H8" s="240"/>
      <c r="I8" s="283"/>
      <c r="J8" s="285"/>
      <c r="K8" s="284"/>
      <c r="L8" s="240"/>
      <c r="M8" s="240"/>
      <c r="N8" s="240"/>
      <c r="O8" s="240"/>
      <c r="P8" s="240"/>
      <c r="Q8" s="240"/>
      <c r="R8" s="240"/>
      <c r="S8" s="240"/>
      <c r="T8" s="283"/>
      <c r="U8" s="288"/>
      <c r="V8" s="284"/>
      <c r="W8" s="240"/>
      <c r="X8" s="240"/>
      <c r="Y8" s="290"/>
      <c r="Z8" s="495" t="s">
        <v>229</v>
      </c>
      <c r="AA8" s="240"/>
      <c r="AB8" s="4"/>
      <c r="AC8" s="240"/>
      <c r="AD8" s="4"/>
      <c r="AE8" s="240"/>
      <c r="AF8" s="4"/>
      <c r="AG8" s="240"/>
      <c r="AH8" s="240"/>
      <c r="AI8" s="240"/>
      <c r="AJ8" s="240"/>
      <c r="AK8" s="240"/>
      <c r="AL8" s="240"/>
      <c r="AM8" s="240"/>
      <c r="AN8" s="240"/>
      <c r="AO8" s="240"/>
      <c r="AP8" s="292" t="s">
        <v>440</v>
      </c>
      <c r="AQ8" s="302" t="s">
        <v>440</v>
      </c>
      <c r="AR8" s="332" t="s">
        <v>148</v>
      </c>
    </row>
    <row r="9" spans="1:44" ht="22.5" customHeight="1" x14ac:dyDescent="0.15">
      <c r="A9">
        <v>4</v>
      </c>
      <c r="B9" s="323" t="s">
        <v>37</v>
      </c>
      <c r="C9" s="324" t="s">
        <v>223</v>
      </c>
      <c r="D9" s="325" t="s">
        <v>35</v>
      </c>
      <c r="E9" s="326" t="s">
        <v>36</v>
      </c>
      <c r="F9" s="240">
        <v>54594750</v>
      </c>
      <c r="G9" s="240">
        <v>56462428</v>
      </c>
      <c r="H9" s="240"/>
      <c r="I9" s="283">
        <v>28184933708</v>
      </c>
      <c r="J9" s="285">
        <v>8.4</v>
      </c>
      <c r="K9" s="284">
        <v>28295990886</v>
      </c>
      <c r="L9" s="240"/>
      <c r="M9" s="240"/>
      <c r="N9" s="240"/>
      <c r="O9" s="240"/>
      <c r="P9" s="240"/>
      <c r="Q9" s="240"/>
      <c r="R9" s="240"/>
      <c r="S9" s="240"/>
      <c r="T9" s="283"/>
      <c r="U9" s="288"/>
      <c r="V9" s="284"/>
      <c r="W9" s="240">
        <v>28295990886</v>
      </c>
      <c r="X9" s="240"/>
      <c r="Y9" s="290" t="s">
        <v>440</v>
      </c>
      <c r="Z9" s="5" t="s">
        <v>230</v>
      </c>
      <c r="AA9" s="240">
        <v>3</v>
      </c>
      <c r="AB9" s="4"/>
      <c r="AC9" s="240"/>
      <c r="AD9" s="4"/>
      <c r="AE9" s="240"/>
      <c r="AF9" s="4"/>
      <c r="AG9" s="240"/>
      <c r="AH9" s="240">
        <v>9431996962</v>
      </c>
      <c r="AI9" s="240"/>
      <c r="AJ9" s="240"/>
      <c r="AK9" s="240"/>
      <c r="AL9" s="240">
        <v>222</v>
      </c>
      <c r="AM9" s="240">
        <v>77523262</v>
      </c>
      <c r="AN9" s="240">
        <v>3368570343</v>
      </c>
      <c r="AO9" s="240"/>
      <c r="AP9" s="292" t="s">
        <v>440</v>
      </c>
      <c r="AQ9" s="302">
        <v>0.19</v>
      </c>
      <c r="AR9" s="332" t="s">
        <v>148</v>
      </c>
    </row>
    <row r="10" spans="1:44" ht="22.5" customHeight="1" x14ac:dyDescent="0.15">
      <c r="A10">
        <v>5</v>
      </c>
      <c r="B10" s="328" t="s">
        <v>37</v>
      </c>
      <c r="C10" s="327" t="s">
        <v>377</v>
      </c>
      <c r="D10" s="328" t="s">
        <v>338</v>
      </c>
      <c r="E10" s="328" t="s">
        <v>339</v>
      </c>
      <c r="F10" s="240">
        <v>79942312</v>
      </c>
      <c r="G10" s="240">
        <v>111086729</v>
      </c>
      <c r="H10" s="240"/>
      <c r="I10" s="283">
        <v>171018719</v>
      </c>
      <c r="J10" s="285">
        <v>12.3</v>
      </c>
      <c r="K10" s="284">
        <v>362047760</v>
      </c>
      <c r="L10" s="240"/>
      <c r="M10" s="240"/>
      <c r="N10" s="240"/>
      <c r="O10" s="240"/>
      <c r="P10" s="240"/>
      <c r="Q10" s="240"/>
      <c r="R10" s="240"/>
      <c r="S10" s="240"/>
      <c r="T10" s="283"/>
      <c r="U10" s="288"/>
      <c r="V10" s="284"/>
      <c r="W10" s="240">
        <v>362047760</v>
      </c>
      <c r="X10" s="240">
        <v>289458000</v>
      </c>
      <c r="Y10" s="290">
        <v>79.95</v>
      </c>
      <c r="Z10" s="5" t="s">
        <v>359</v>
      </c>
      <c r="AA10" s="240">
        <v>14844</v>
      </c>
      <c r="AB10" s="4"/>
      <c r="AC10" s="240"/>
      <c r="AD10" s="4"/>
      <c r="AE10" s="240"/>
      <c r="AF10" s="4"/>
      <c r="AG10" s="240"/>
      <c r="AH10" s="240">
        <v>24390</v>
      </c>
      <c r="AI10" s="240" t="s">
        <v>440</v>
      </c>
      <c r="AJ10" s="240" t="s">
        <v>440</v>
      </c>
      <c r="AK10" s="240" t="s">
        <v>440</v>
      </c>
      <c r="AL10" s="240">
        <v>2</v>
      </c>
      <c r="AM10" s="240">
        <v>991911</v>
      </c>
      <c r="AN10" s="240">
        <v>29434777</v>
      </c>
      <c r="AO10" s="240"/>
      <c r="AP10" s="292"/>
      <c r="AQ10" s="302">
        <v>22.08</v>
      </c>
      <c r="AR10" s="332" t="s">
        <v>148</v>
      </c>
    </row>
    <row r="11" spans="1:44" ht="22.5" customHeight="1" x14ac:dyDescent="0.15">
      <c r="A11">
        <v>6</v>
      </c>
      <c r="B11" s="328" t="s">
        <v>37</v>
      </c>
      <c r="C11" s="327" t="s">
        <v>461</v>
      </c>
      <c r="D11" s="328" t="s">
        <v>338</v>
      </c>
      <c r="E11" s="328" t="s">
        <v>36</v>
      </c>
      <c r="F11" s="240"/>
      <c r="G11" s="240"/>
      <c r="H11" s="240"/>
      <c r="I11" s="283"/>
      <c r="J11" s="285"/>
      <c r="K11" s="284"/>
      <c r="L11" s="240"/>
      <c r="M11" s="240"/>
      <c r="N11" s="240"/>
      <c r="O11" s="240"/>
      <c r="P11" s="240"/>
      <c r="Q11" s="240"/>
      <c r="R11" s="240"/>
      <c r="S11" s="240"/>
      <c r="T11" s="283"/>
      <c r="U11" s="288"/>
      <c r="V11" s="284"/>
      <c r="W11" s="240"/>
      <c r="X11" s="240"/>
      <c r="Y11" s="290" t="s">
        <v>440</v>
      </c>
      <c r="Z11" s="294" t="s">
        <v>384</v>
      </c>
      <c r="AA11" s="240"/>
      <c r="AB11" s="4"/>
      <c r="AC11" s="240"/>
      <c r="AD11" s="4"/>
      <c r="AE11" s="240"/>
      <c r="AF11" s="4"/>
      <c r="AG11" s="240"/>
      <c r="AH11" s="240"/>
      <c r="AI11" s="240"/>
      <c r="AJ11" s="240"/>
      <c r="AK11" s="240"/>
      <c r="AL11" s="310"/>
      <c r="AM11" s="240"/>
      <c r="AN11" s="240"/>
      <c r="AO11" s="240"/>
      <c r="AP11" s="292" t="s">
        <v>440</v>
      </c>
      <c r="AQ11" s="302"/>
      <c r="AR11" s="350" t="s">
        <v>148</v>
      </c>
    </row>
    <row r="12" spans="1:44" ht="22.5" customHeight="1" x14ac:dyDescent="0.15">
      <c r="A12">
        <v>7</v>
      </c>
      <c r="B12" s="323" t="s">
        <v>37</v>
      </c>
      <c r="C12" s="324" t="s">
        <v>187</v>
      </c>
      <c r="D12" s="325" t="s">
        <v>35</v>
      </c>
      <c r="E12" s="326" t="s">
        <v>38</v>
      </c>
      <c r="F12" s="240">
        <v>30547062</v>
      </c>
      <c r="G12" s="240">
        <v>10314177</v>
      </c>
      <c r="H12" s="240">
        <v>334250</v>
      </c>
      <c r="I12" s="283"/>
      <c r="J12" s="285">
        <v>4.7</v>
      </c>
      <c r="K12" s="284">
        <v>41195490</v>
      </c>
      <c r="L12" s="240">
        <v>633676465</v>
      </c>
      <c r="M12" s="240">
        <v>1284597450</v>
      </c>
      <c r="N12" s="240">
        <v>190695335</v>
      </c>
      <c r="O12" s="240">
        <v>127423797</v>
      </c>
      <c r="P12" s="240">
        <v>824371800</v>
      </c>
      <c r="Q12" s="240">
        <v>1124500</v>
      </c>
      <c r="R12" s="240">
        <v>1412021247</v>
      </c>
      <c r="S12" s="240">
        <v>149161299</v>
      </c>
      <c r="T12" s="283"/>
      <c r="U12" s="288">
        <v>158</v>
      </c>
      <c r="V12" s="284">
        <v>2386678846</v>
      </c>
      <c r="W12" s="240">
        <v>2427874336</v>
      </c>
      <c r="X12" s="240">
        <v>49014675</v>
      </c>
      <c r="Y12" s="290">
        <v>2.02</v>
      </c>
      <c r="Z12" s="293" t="s">
        <v>231</v>
      </c>
      <c r="AA12" s="240">
        <v>368021</v>
      </c>
      <c r="AB12" s="4"/>
      <c r="AC12" s="240"/>
      <c r="AD12" s="4"/>
      <c r="AE12" s="240"/>
      <c r="AF12" s="4"/>
      <c r="AG12" s="240"/>
      <c r="AH12" s="240">
        <v>6597.1081458694844</v>
      </c>
      <c r="AI12" s="240"/>
      <c r="AJ12" s="240"/>
      <c r="AK12" s="240"/>
      <c r="AL12" s="240">
        <v>19</v>
      </c>
      <c r="AM12" s="240">
        <v>6651710</v>
      </c>
      <c r="AN12" s="240">
        <v>14922399</v>
      </c>
      <c r="AO12" s="240"/>
      <c r="AP12" s="292" t="s">
        <v>440</v>
      </c>
      <c r="AQ12" s="302">
        <v>35.26</v>
      </c>
      <c r="AR12" s="332" t="s">
        <v>149</v>
      </c>
    </row>
    <row r="13" spans="1:44" ht="22.5" customHeight="1" x14ac:dyDescent="0.15">
      <c r="A13">
        <v>8</v>
      </c>
      <c r="B13" s="323" t="s">
        <v>37</v>
      </c>
      <c r="C13" s="324" t="s">
        <v>188</v>
      </c>
      <c r="D13" s="325" t="s">
        <v>35</v>
      </c>
      <c r="E13" s="326" t="s">
        <v>38</v>
      </c>
      <c r="F13" s="240">
        <v>3249687</v>
      </c>
      <c r="G13" s="240">
        <v>2678230</v>
      </c>
      <c r="H13" s="240"/>
      <c r="I13" s="283"/>
      <c r="J13" s="285">
        <v>0.5</v>
      </c>
      <c r="K13" s="284">
        <v>5927918</v>
      </c>
      <c r="L13" s="240">
        <v>286576332</v>
      </c>
      <c r="M13" s="240">
        <v>68697713</v>
      </c>
      <c r="N13" s="240">
        <v>49462100</v>
      </c>
      <c r="O13" s="240">
        <v>31610552</v>
      </c>
      <c r="P13" s="240">
        <v>336038432</v>
      </c>
      <c r="Q13" s="240">
        <v>204748</v>
      </c>
      <c r="R13" s="240">
        <v>100308265</v>
      </c>
      <c r="S13" s="240">
        <v>17156556</v>
      </c>
      <c r="T13" s="283"/>
      <c r="U13" s="288">
        <v>20</v>
      </c>
      <c r="V13" s="284">
        <v>453708001</v>
      </c>
      <c r="W13" s="240">
        <v>459635920</v>
      </c>
      <c r="X13" s="240"/>
      <c r="Y13" s="290" t="s">
        <v>440</v>
      </c>
      <c r="Z13" s="5" t="s">
        <v>232</v>
      </c>
      <c r="AA13" s="240">
        <v>21580</v>
      </c>
      <c r="AB13" s="4"/>
      <c r="AC13" s="240"/>
      <c r="AD13" s="4"/>
      <c r="AE13" s="240"/>
      <c r="AF13" s="4"/>
      <c r="AG13" s="240"/>
      <c r="AH13" s="240">
        <v>21299</v>
      </c>
      <c r="AI13" s="240"/>
      <c r="AJ13" s="240"/>
      <c r="AK13" s="240"/>
      <c r="AL13" s="240">
        <v>3</v>
      </c>
      <c r="AM13" s="240">
        <v>1259276</v>
      </c>
      <c r="AN13" s="240">
        <v>22421264</v>
      </c>
      <c r="AO13" s="240"/>
      <c r="AP13" s="292" t="s">
        <v>440</v>
      </c>
      <c r="AQ13" s="302">
        <v>73.86</v>
      </c>
      <c r="AR13" s="332" t="s">
        <v>149</v>
      </c>
    </row>
    <row r="14" spans="1:44" ht="22.5" customHeight="1" x14ac:dyDescent="0.15">
      <c r="A14">
        <v>9</v>
      </c>
      <c r="B14" s="323" t="s">
        <v>37</v>
      </c>
      <c r="C14" s="324" t="s">
        <v>96</v>
      </c>
      <c r="D14" s="325" t="s">
        <v>87</v>
      </c>
      <c r="E14" s="326" t="s">
        <v>36</v>
      </c>
      <c r="F14" s="240">
        <v>38996250</v>
      </c>
      <c r="G14" s="240">
        <v>6730790</v>
      </c>
      <c r="H14" s="240">
        <v>11480391</v>
      </c>
      <c r="I14" s="283">
        <v>64759390</v>
      </c>
      <c r="J14" s="285">
        <v>6</v>
      </c>
      <c r="K14" s="284">
        <v>121966821</v>
      </c>
      <c r="L14" s="240"/>
      <c r="M14" s="240"/>
      <c r="N14" s="240"/>
      <c r="O14" s="240"/>
      <c r="P14" s="240"/>
      <c r="Q14" s="240"/>
      <c r="R14" s="240"/>
      <c r="S14" s="240"/>
      <c r="T14" s="283"/>
      <c r="U14" s="288"/>
      <c r="V14" s="284"/>
      <c r="W14" s="240">
        <v>121966821</v>
      </c>
      <c r="X14" s="240"/>
      <c r="Y14" s="290" t="s">
        <v>440</v>
      </c>
      <c r="Z14" s="502" t="s">
        <v>233</v>
      </c>
      <c r="AA14" s="240">
        <v>590</v>
      </c>
      <c r="AB14" s="4"/>
      <c r="AC14" s="240"/>
      <c r="AD14" s="4"/>
      <c r="AE14" s="240"/>
      <c r="AF14" s="4"/>
      <c r="AG14" s="240"/>
      <c r="AH14" s="240">
        <v>206723</v>
      </c>
      <c r="AI14" s="240"/>
      <c r="AJ14" s="240"/>
      <c r="AK14" s="240"/>
      <c r="AL14" s="310">
        <v>0.9</v>
      </c>
      <c r="AM14" s="240">
        <v>334155</v>
      </c>
      <c r="AN14" s="240">
        <v>20327803</v>
      </c>
      <c r="AO14" s="240">
        <v>1235510365</v>
      </c>
      <c r="AP14" s="292">
        <v>9.8699999999999992</v>
      </c>
      <c r="AQ14" s="302">
        <v>31.97</v>
      </c>
      <c r="AR14" s="332" t="s">
        <v>150</v>
      </c>
    </row>
    <row r="15" spans="1:44" ht="22.5" customHeight="1" x14ac:dyDescent="0.15">
      <c r="A15">
        <v>10</v>
      </c>
      <c r="B15" s="323" t="s">
        <v>86</v>
      </c>
      <c r="C15" s="324" t="s">
        <v>381</v>
      </c>
      <c r="D15" s="325" t="s">
        <v>35</v>
      </c>
      <c r="E15" s="326" t="s">
        <v>36</v>
      </c>
      <c r="F15" s="240"/>
      <c r="G15" s="240"/>
      <c r="H15" s="240"/>
      <c r="I15" s="283"/>
      <c r="J15" s="285"/>
      <c r="K15" s="284"/>
      <c r="L15" s="240"/>
      <c r="M15" s="240"/>
      <c r="N15" s="240"/>
      <c r="O15" s="240"/>
      <c r="P15" s="240"/>
      <c r="Q15" s="240"/>
      <c r="R15" s="240"/>
      <c r="S15" s="240"/>
      <c r="T15" s="283"/>
      <c r="U15" s="295"/>
      <c r="V15" s="284"/>
      <c r="W15" s="240"/>
      <c r="X15" s="240"/>
      <c r="Y15" s="290"/>
      <c r="Z15" s="495" t="s">
        <v>382</v>
      </c>
      <c r="AA15" s="240"/>
      <c r="AB15" s="4"/>
      <c r="AC15" s="240"/>
      <c r="AD15" s="4"/>
      <c r="AE15" s="240"/>
      <c r="AF15" s="4"/>
      <c r="AG15" s="240"/>
      <c r="AH15" s="240"/>
      <c r="AI15" s="240"/>
      <c r="AJ15" s="240"/>
      <c r="AK15" s="240"/>
      <c r="AL15" s="310"/>
      <c r="AM15" s="240"/>
      <c r="AN15" s="240"/>
      <c r="AO15" s="240"/>
      <c r="AP15" s="292"/>
      <c r="AQ15" s="302"/>
      <c r="AR15" s="332" t="s">
        <v>148</v>
      </c>
    </row>
    <row r="16" spans="1:44" ht="22.5" customHeight="1" x14ac:dyDescent="0.15">
      <c r="A16">
        <v>11</v>
      </c>
      <c r="B16" s="323" t="s">
        <v>88</v>
      </c>
      <c r="C16" s="324" t="s">
        <v>89</v>
      </c>
      <c r="D16" s="325" t="s">
        <v>35</v>
      </c>
      <c r="E16" s="326" t="s">
        <v>36</v>
      </c>
      <c r="F16" s="240">
        <v>16898375</v>
      </c>
      <c r="G16" s="240">
        <v>7979479</v>
      </c>
      <c r="H16" s="240">
        <v>2035843</v>
      </c>
      <c r="I16" s="283">
        <v>55746029</v>
      </c>
      <c r="J16" s="285">
        <v>2.6</v>
      </c>
      <c r="K16" s="284">
        <v>82659727</v>
      </c>
      <c r="L16" s="240"/>
      <c r="M16" s="240"/>
      <c r="N16" s="240"/>
      <c r="O16" s="240"/>
      <c r="P16" s="240"/>
      <c r="Q16" s="240"/>
      <c r="R16" s="240"/>
      <c r="S16" s="240"/>
      <c r="T16" s="283"/>
      <c r="U16" s="295"/>
      <c r="V16" s="284"/>
      <c r="W16" s="240">
        <v>82659727</v>
      </c>
      <c r="X16" s="240"/>
      <c r="Y16" s="290" t="s">
        <v>440</v>
      </c>
      <c r="Z16" s="293" t="s">
        <v>333</v>
      </c>
      <c r="AA16" s="240"/>
      <c r="AB16" s="4" t="s">
        <v>334</v>
      </c>
      <c r="AC16" s="240"/>
      <c r="AD16" s="4"/>
      <c r="AE16" s="240"/>
      <c r="AF16" s="4"/>
      <c r="AG16" s="240"/>
      <c r="AH16" s="240"/>
      <c r="AI16" s="240"/>
      <c r="AJ16" s="240"/>
      <c r="AK16" s="240"/>
      <c r="AL16" s="310">
        <v>0.6</v>
      </c>
      <c r="AM16" s="240">
        <v>226465</v>
      </c>
      <c r="AN16" s="240">
        <v>31792202</v>
      </c>
      <c r="AO16" s="240"/>
      <c r="AP16" s="292" t="s">
        <v>440</v>
      </c>
      <c r="AQ16" s="302">
        <v>20.440000000000001</v>
      </c>
      <c r="AR16" s="332" t="s">
        <v>148</v>
      </c>
    </row>
    <row r="17" spans="1:44" ht="22.5" customHeight="1" x14ac:dyDescent="0.15">
      <c r="A17">
        <v>12</v>
      </c>
      <c r="B17" s="323" t="s">
        <v>39</v>
      </c>
      <c r="C17" s="324" t="s">
        <v>503</v>
      </c>
      <c r="D17" s="325" t="s">
        <v>35</v>
      </c>
      <c r="E17" s="326" t="s">
        <v>36</v>
      </c>
      <c r="F17" s="240">
        <v>72792999</v>
      </c>
      <c r="G17" s="240">
        <v>38653099</v>
      </c>
      <c r="H17" s="240">
        <v>4970363</v>
      </c>
      <c r="I17" s="283">
        <v>1857899000</v>
      </c>
      <c r="J17" s="285">
        <v>11.2</v>
      </c>
      <c r="K17" s="284">
        <v>1974315463</v>
      </c>
      <c r="L17" s="240"/>
      <c r="M17" s="240"/>
      <c r="N17" s="240"/>
      <c r="O17" s="240"/>
      <c r="P17" s="240"/>
      <c r="Q17" s="240"/>
      <c r="R17" s="240"/>
      <c r="S17" s="240"/>
      <c r="T17" s="283"/>
      <c r="U17" s="288"/>
      <c r="V17" s="284"/>
      <c r="W17" s="240">
        <v>1974315464.0892081</v>
      </c>
      <c r="X17" s="240">
        <v>1857899000</v>
      </c>
      <c r="Y17" s="290">
        <v>94.1</v>
      </c>
      <c r="Z17" s="499" t="s">
        <v>501</v>
      </c>
      <c r="AA17" s="240">
        <v>59</v>
      </c>
      <c r="AB17" s="500" t="s">
        <v>502</v>
      </c>
      <c r="AC17" s="240">
        <v>59</v>
      </c>
      <c r="AD17" s="4"/>
      <c r="AE17" s="240"/>
      <c r="AF17" s="4"/>
      <c r="AG17" s="240"/>
      <c r="AH17" s="240">
        <v>25240684</v>
      </c>
      <c r="AI17" s="240">
        <v>8222289</v>
      </c>
      <c r="AJ17" s="240" t="s">
        <v>440</v>
      </c>
      <c r="AK17" s="240" t="s">
        <v>440</v>
      </c>
      <c r="AL17" s="240">
        <v>15</v>
      </c>
      <c r="AM17" s="240">
        <v>5409083</v>
      </c>
      <c r="AN17" s="240">
        <v>323658272</v>
      </c>
      <c r="AO17" s="240"/>
      <c r="AP17" s="292"/>
      <c r="AQ17" s="302">
        <v>3.69</v>
      </c>
      <c r="AR17" s="332" t="s">
        <v>148</v>
      </c>
    </row>
    <row r="18" spans="1:44" s="6" customFormat="1" ht="22.5" customHeight="1" x14ac:dyDescent="0.15">
      <c r="A18">
        <v>13</v>
      </c>
      <c r="B18" s="323" t="s">
        <v>88</v>
      </c>
      <c r="C18" s="324" t="s">
        <v>504</v>
      </c>
      <c r="D18" s="325" t="s">
        <v>35</v>
      </c>
      <c r="E18" s="326" t="s">
        <v>36</v>
      </c>
      <c r="F18" s="240">
        <v>39646187</v>
      </c>
      <c r="G18" s="240">
        <v>21052134</v>
      </c>
      <c r="H18" s="240">
        <v>2707073</v>
      </c>
      <c r="I18" s="283">
        <v>1425795000</v>
      </c>
      <c r="J18" s="285">
        <v>6.1</v>
      </c>
      <c r="K18" s="284">
        <v>1489200395</v>
      </c>
      <c r="L18" s="240"/>
      <c r="M18" s="240"/>
      <c r="N18" s="240"/>
      <c r="O18" s="240"/>
      <c r="P18" s="240"/>
      <c r="Q18" s="240"/>
      <c r="R18" s="240"/>
      <c r="S18" s="240"/>
      <c r="T18" s="283"/>
      <c r="U18" s="288"/>
      <c r="V18" s="284"/>
      <c r="W18" s="240">
        <v>1489200395</v>
      </c>
      <c r="X18" s="240">
        <v>1425795000</v>
      </c>
      <c r="Y18" s="290">
        <v>95.74</v>
      </c>
      <c r="Z18" s="499" t="s">
        <v>501</v>
      </c>
      <c r="AA18" s="240">
        <v>59</v>
      </c>
      <c r="AB18" s="4"/>
      <c r="AC18" s="240"/>
      <c r="AD18" s="4"/>
      <c r="AE18" s="240"/>
      <c r="AF18" s="4"/>
      <c r="AG18" s="240"/>
      <c r="AH18" s="240">
        <v>25240684</v>
      </c>
      <c r="AI18" s="240"/>
      <c r="AJ18" s="240" t="s">
        <v>440</v>
      </c>
      <c r="AK18" s="240" t="s">
        <v>440</v>
      </c>
      <c r="AL18" s="240"/>
      <c r="AM18" s="240"/>
      <c r="AN18" s="240"/>
      <c r="AO18" s="240"/>
      <c r="AP18" s="292"/>
      <c r="AQ18" s="302"/>
      <c r="AR18" s="332"/>
    </row>
    <row r="19" spans="1:44" ht="22.5" customHeight="1" x14ac:dyDescent="0.15">
      <c r="A19">
        <v>14</v>
      </c>
      <c r="B19" s="323" t="s">
        <v>88</v>
      </c>
      <c r="C19" s="324" t="s">
        <v>505</v>
      </c>
      <c r="D19" s="325" t="s">
        <v>35</v>
      </c>
      <c r="E19" s="326" t="s">
        <v>36</v>
      </c>
      <c r="F19" s="240">
        <v>33146812</v>
      </c>
      <c r="G19" s="240">
        <v>17600965</v>
      </c>
      <c r="H19" s="240">
        <v>2263290</v>
      </c>
      <c r="I19" s="283">
        <v>432104000</v>
      </c>
      <c r="J19" s="285">
        <v>5.0999999999999996</v>
      </c>
      <c r="K19" s="284">
        <v>485115068</v>
      </c>
      <c r="L19" s="240"/>
      <c r="M19" s="240"/>
      <c r="N19" s="240"/>
      <c r="O19" s="240"/>
      <c r="P19" s="240"/>
      <c r="Q19" s="240"/>
      <c r="R19" s="240"/>
      <c r="S19" s="240"/>
      <c r="T19" s="283"/>
      <c r="U19" s="288"/>
      <c r="V19" s="284"/>
      <c r="W19" s="240">
        <v>485115068</v>
      </c>
      <c r="X19" s="240">
        <v>432104000</v>
      </c>
      <c r="Y19" s="290">
        <v>89.07</v>
      </c>
      <c r="Z19" s="500" t="s">
        <v>502</v>
      </c>
      <c r="AA19" s="240">
        <v>59</v>
      </c>
      <c r="AB19" s="4"/>
      <c r="AC19" s="240"/>
      <c r="AD19" s="4"/>
      <c r="AE19" s="240"/>
      <c r="AF19" s="4"/>
      <c r="AG19" s="240"/>
      <c r="AH19" s="240">
        <v>8222289</v>
      </c>
      <c r="AI19" s="240"/>
      <c r="AJ19" s="240" t="s">
        <v>440</v>
      </c>
      <c r="AK19" s="240" t="s">
        <v>440</v>
      </c>
      <c r="AL19" s="240"/>
      <c r="AM19" s="240"/>
      <c r="AN19" s="240"/>
      <c r="AO19" s="240"/>
      <c r="AP19" s="292"/>
      <c r="AQ19" s="302"/>
      <c r="AR19" s="332"/>
    </row>
    <row r="20" spans="1:44" s="6" customFormat="1" ht="22.5" customHeight="1" x14ac:dyDescent="0.15">
      <c r="A20" s="6">
        <v>15</v>
      </c>
      <c r="B20" s="323" t="s">
        <v>534</v>
      </c>
      <c r="C20" s="324" t="s">
        <v>539</v>
      </c>
      <c r="D20" s="591" t="s">
        <v>35</v>
      </c>
      <c r="E20" s="330" t="s">
        <v>36</v>
      </c>
      <c r="F20" s="240"/>
      <c r="G20" s="240"/>
      <c r="H20" s="240"/>
      <c r="I20" s="283"/>
      <c r="J20" s="285"/>
      <c r="K20" s="284"/>
      <c r="L20" s="240"/>
      <c r="M20" s="240"/>
      <c r="N20" s="240"/>
      <c r="O20" s="240"/>
      <c r="P20" s="240"/>
      <c r="Q20" s="240"/>
      <c r="R20" s="240"/>
      <c r="S20" s="240"/>
      <c r="T20" s="283"/>
      <c r="U20" s="288"/>
      <c r="V20" s="284"/>
      <c r="W20" s="240"/>
      <c r="X20" s="240"/>
      <c r="Y20" s="290"/>
      <c r="Z20" s="500"/>
      <c r="AA20" s="240"/>
      <c r="AB20" s="4"/>
      <c r="AC20" s="240"/>
      <c r="AD20" s="4"/>
      <c r="AE20" s="240"/>
      <c r="AF20" s="4"/>
      <c r="AG20" s="240"/>
      <c r="AH20" s="240"/>
      <c r="AI20" s="240"/>
      <c r="AJ20" s="240"/>
      <c r="AK20" s="240"/>
      <c r="AL20" s="240"/>
      <c r="AM20" s="240"/>
      <c r="AN20" s="240"/>
      <c r="AO20" s="240"/>
      <c r="AP20" s="292"/>
      <c r="AQ20" s="302"/>
      <c r="AR20" s="593"/>
    </row>
    <row r="21" spans="1:44" ht="22.5" customHeight="1" x14ac:dyDescent="0.15">
      <c r="A21">
        <v>16</v>
      </c>
      <c r="B21" s="323" t="s">
        <v>39</v>
      </c>
      <c r="C21" s="324" t="s">
        <v>91</v>
      </c>
      <c r="D21" s="325" t="s">
        <v>35</v>
      </c>
      <c r="E21" s="326" t="s">
        <v>36</v>
      </c>
      <c r="F21" s="240">
        <v>279473125</v>
      </c>
      <c r="G21" s="240">
        <v>1701356804</v>
      </c>
      <c r="H21" s="240">
        <v>176144573</v>
      </c>
      <c r="I21" s="283">
        <v>932980433</v>
      </c>
      <c r="J21" s="285">
        <v>43</v>
      </c>
      <c r="K21" s="284">
        <v>3089954935</v>
      </c>
      <c r="L21" s="240"/>
      <c r="M21" s="240"/>
      <c r="N21" s="240"/>
      <c r="O21" s="240"/>
      <c r="P21" s="240"/>
      <c r="Q21" s="240"/>
      <c r="R21" s="240"/>
      <c r="S21" s="240"/>
      <c r="T21" s="283"/>
      <c r="U21" s="288"/>
      <c r="V21" s="284"/>
      <c r="W21" s="240">
        <v>3089954935</v>
      </c>
      <c r="X21" s="240"/>
      <c r="Y21" s="290" t="s">
        <v>440</v>
      </c>
      <c r="Z21" s="309" t="s">
        <v>235</v>
      </c>
      <c r="AA21" s="240">
        <v>18</v>
      </c>
      <c r="AB21" s="4"/>
      <c r="AC21" s="240"/>
      <c r="AD21" s="4"/>
      <c r="AE21" s="240"/>
      <c r="AF21" s="4"/>
      <c r="AG21" s="240"/>
      <c r="AH21" s="240">
        <v>171664163</v>
      </c>
      <c r="AI21" s="240"/>
      <c r="AJ21" s="240"/>
      <c r="AK21" s="240"/>
      <c r="AL21" s="240">
        <v>24</v>
      </c>
      <c r="AM21" s="240">
        <v>8465629</v>
      </c>
      <c r="AN21" s="240">
        <v>71859417</v>
      </c>
      <c r="AO21" s="240"/>
      <c r="AP21" s="292" t="s">
        <v>440</v>
      </c>
      <c r="AQ21" s="302">
        <v>9.0399999999999991</v>
      </c>
      <c r="AR21" s="536" t="s">
        <v>148</v>
      </c>
    </row>
    <row r="22" spans="1:44" ht="22.5" customHeight="1" x14ac:dyDescent="0.15">
      <c r="A22">
        <v>17</v>
      </c>
      <c r="B22" s="323" t="s">
        <v>39</v>
      </c>
      <c r="C22" s="324" t="s">
        <v>92</v>
      </c>
      <c r="D22" s="323" t="s">
        <v>35</v>
      </c>
      <c r="E22" s="330" t="s">
        <v>38</v>
      </c>
      <c r="F22" s="240">
        <v>2509408694</v>
      </c>
      <c r="G22" s="240">
        <v>1187937416</v>
      </c>
      <c r="H22" s="240">
        <v>303084273</v>
      </c>
      <c r="I22" s="283">
        <v>5218948675</v>
      </c>
      <c r="J22" s="285">
        <v>386.1</v>
      </c>
      <c r="K22" s="284">
        <v>9219379058</v>
      </c>
      <c r="L22" s="240">
        <v>1817580814</v>
      </c>
      <c r="M22" s="240">
        <v>784188951</v>
      </c>
      <c r="N22" s="240">
        <v>193473046</v>
      </c>
      <c r="O22" s="240">
        <v>50110424</v>
      </c>
      <c r="P22" s="240">
        <v>2011053860</v>
      </c>
      <c r="Q22" s="240">
        <v>1762947</v>
      </c>
      <c r="R22" s="240">
        <v>834299375</v>
      </c>
      <c r="S22" s="240"/>
      <c r="T22" s="283"/>
      <c r="U22" s="288">
        <v>238</v>
      </c>
      <c r="V22" s="284">
        <v>2847116182</v>
      </c>
      <c r="W22" s="240">
        <v>12066495240</v>
      </c>
      <c r="X22" s="240"/>
      <c r="Y22" s="290" t="s">
        <v>440</v>
      </c>
      <c r="Z22" s="5" t="s">
        <v>236</v>
      </c>
      <c r="AA22" s="240">
        <v>7</v>
      </c>
      <c r="AB22" s="4"/>
      <c r="AC22" s="240"/>
      <c r="AD22" s="4"/>
      <c r="AE22" s="240"/>
      <c r="AF22" s="4"/>
      <c r="AG22" s="240"/>
      <c r="AH22" s="240">
        <v>1723785034</v>
      </c>
      <c r="AI22" s="240"/>
      <c r="AJ22" s="240"/>
      <c r="AK22" s="240"/>
      <c r="AL22" s="240">
        <v>94</v>
      </c>
      <c r="AM22" s="240">
        <v>33058891</v>
      </c>
      <c r="AN22" s="240">
        <v>19334233</v>
      </c>
      <c r="AO22" s="240"/>
      <c r="AP22" s="292" t="s">
        <v>440</v>
      </c>
      <c r="AQ22" s="302">
        <v>37.479999999999997</v>
      </c>
      <c r="AR22" s="536" t="s">
        <v>149</v>
      </c>
    </row>
    <row r="23" spans="1:44" ht="22.5" customHeight="1" x14ac:dyDescent="0.15">
      <c r="A23">
        <v>18</v>
      </c>
      <c r="B23" s="323" t="s">
        <v>88</v>
      </c>
      <c r="C23" s="324" t="s">
        <v>90</v>
      </c>
      <c r="D23" s="325" t="s">
        <v>87</v>
      </c>
      <c r="E23" s="326" t="s">
        <v>36</v>
      </c>
      <c r="F23" s="240">
        <v>630439376</v>
      </c>
      <c r="G23" s="240">
        <v>482331476</v>
      </c>
      <c r="H23" s="240">
        <v>123243281</v>
      </c>
      <c r="I23" s="283">
        <v>807766566</v>
      </c>
      <c r="J23" s="285">
        <v>97</v>
      </c>
      <c r="K23" s="284">
        <v>2043780699</v>
      </c>
      <c r="L23" s="240"/>
      <c r="M23" s="240"/>
      <c r="N23" s="240"/>
      <c r="O23" s="240"/>
      <c r="P23" s="240"/>
      <c r="Q23" s="240"/>
      <c r="R23" s="240"/>
      <c r="S23" s="240"/>
      <c r="T23" s="283"/>
      <c r="U23" s="295"/>
      <c r="V23" s="284"/>
      <c r="W23" s="240">
        <v>2043780699</v>
      </c>
      <c r="X23" s="240"/>
      <c r="Y23" s="290" t="s">
        <v>440</v>
      </c>
      <c r="Z23" s="5" t="s">
        <v>237</v>
      </c>
      <c r="AA23" s="240">
        <v>541207</v>
      </c>
      <c r="AB23" s="4"/>
      <c r="AC23" s="240"/>
      <c r="AD23" s="4"/>
      <c r="AE23" s="240"/>
      <c r="AF23" s="4"/>
      <c r="AG23" s="240"/>
      <c r="AH23" s="240">
        <v>3776</v>
      </c>
      <c r="AI23" s="240"/>
      <c r="AJ23" s="240"/>
      <c r="AK23" s="240"/>
      <c r="AL23" s="240">
        <v>16</v>
      </c>
      <c r="AM23" s="240">
        <v>5599399</v>
      </c>
      <c r="AN23" s="240">
        <v>21069904</v>
      </c>
      <c r="AO23" s="240">
        <v>511801003392</v>
      </c>
      <c r="AP23" s="292">
        <v>0.4</v>
      </c>
      <c r="AQ23" s="302">
        <v>30.85</v>
      </c>
      <c r="AR23" s="536" t="s">
        <v>150</v>
      </c>
    </row>
    <row r="24" spans="1:44" ht="22.5" customHeight="1" x14ac:dyDescent="0.15">
      <c r="A24">
        <v>19</v>
      </c>
      <c r="B24" s="328" t="s">
        <v>93</v>
      </c>
      <c r="C24" s="327" t="s">
        <v>356</v>
      </c>
      <c r="D24" s="328" t="s">
        <v>338</v>
      </c>
      <c r="E24" s="328" t="s">
        <v>339</v>
      </c>
      <c r="F24" s="240"/>
      <c r="G24" s="240"/>
      <c r="H24" s="240"/>
      <c r="I24" s="283"/>
      <c r="J24" s="285"/>
      <c r="K24" s="284"/>
      <c r="L24" s="240"/>
      <c r="M24" s="240"/>
      <c r="N24" s="240"/>
      <c r="O24" s="240"/>
      <c r="P24" s="240"/>
      <c r="Q24" s="240"/>
      <c r="R24" s="240"/>
      <c r="S24" s="240"/>
      <c r="T24" s="283"/>
      <c r="U24" s="288"/>
      <c r="V24" s="284"/>
      <c r="W24" s="240"/>
      <c r="X24" s="240"/>
      <c r="Y24" s="290" t="s">
        <v>440</v>
      </c>
      <c r="Z24" s="5" t="s">
        <v>359</v>
      </c>
      <c r="AA24" s="240"/>
      <c r="AB24" s="4"/>
      <c r="AC24" s="240"/>
      <c r="AD24" s="4"/>
      <c r="AE24" s="240"/>
      <c r="AF24" s="4"/>
      <c r="AG24" s="240"/>
      <c r="AH24" s="240"/>
      <c r="AI24" s="240"/>
      <c r="AJ24" s="240"/>
      <c r="AK24" s="240"/>
      <c r="AL24" s="240"/>
      <c r="AM24" s="240"/>
      <c r="AN24" s="240"/>
      <c r="AO24" s="240"/>
      <c r="AP24" s="292" t="s">
        <v>440</v>
      </c>
      <c r="AQ24" s="302"/>
      <c r="AR24" s="536" t="s">
        <v>148</v>
      </c>
    </row>
    <row r="25" spans="1:44" ht="22.5" customHeight="1" x14ac:dyDescent="0.15">
      <c r="A25">
        <v>20</v>
      </c>
      <c r="B25" s="323" t="s">
        <v>93</v>
      </c>
      <c r="C25" s="324" t="s">
        <v>94</v>
      </c>
      <c r="D25" s="325" t="s">
        <v>35</v>
      </c>
      <c r="E25" s="326" t="s">
        <v>36</v>
      </c>
      <c r="F25" s="240">
        <v>151402941070</v>
      </c>
      <c r="G25" s="240">
        <v>4565998659</v>
      </c>
      <c r="H25" s="240">
        <v>25786846197</v>
      </c>
      <c r="I25" s="283">
        <v>69123891694</v>
      </c>
      <c r="J25" s="285">
        <v>23295</v>
      </c>
      <c r="K25" s="284">
        <v>250879677620</v>
      </c>
      <c r="L25" s="240"/>
      <c r="M25" s="240"/>
      <c r="N25" s="240"/>
      <c r="O25" s="240"/>
      <c r="P25" s="240"/>
      <c r="Q25" s="240"/>
      <c r="R25" s="240"/>
      <c r="S25" s="240"/>
      <c r="T25" s="283"/>
      <c r="U25" s="288"/>
      <c r="V25" s="284"/>
      <c r="W25" s="240">
        <v>250879677620</v>
      </c>
      <c r="X25" s="240">
        <v>4150078942</v>
      </c>
      <c r="Y25" s="290">
        <v>1.65</v>
      </c>
      <c r="Z25" s="5" t="s">
        <v>238</v>
      </c>
      <c r="AA25" s="240">
        <v>64582</v>
      </c>
      <c r="AB25" s="4"/>
      <c r="AC25" s="240"/>
      <c r="AD25" s="4"/>
      <c r="AE25" s="240"/>
      <c r="AF25" s="4"/>
      <c r="AG25" s="240"/>
      <c r="AH25" s="240">
        <v>10642</v>
      </c>
      <c r="AI25" s="240"/>
      <c r="AJ25" s="240"/>
      <c r="AK25" s="240"/>
      <c r="AL25" s="240">
        <v>1971</v>
      </c>
      <c r="AM25" s="240">
        <v>687341582</v>
      </c>
      <c r="AN25" s="240">
        <v>10769679</v>
      </c>
      <c r="AO25" s="240"/>
      <c r="AP25" s="292" t="s">
        <v>440</v>
      </c>
      <c r="AQ25" s="302">
        <v>60.35</v>
      </c>
      <c r="AR25" s="536" t="s">
        <v>148</v>
      </c>
    </row>
    <row r="26" spans="1:44" ht="22.5" customHeight="1" x14ac:dyDescent="0.15">
      <c r="A26">
        <v>21</v>
      </c>
      <c r="B26" s="328" t="s">
        <v>93</v>
      </c>
      <c r="C26" s="327" t="s">
        <v>507</v>
      </c>
      <c r="D26" s="328" t="s">
        <v>338</v>
      </c>
      <c r="E26" s="328" t="s">
        <v>339</v>
      </c>
      <c r="F26" s="240"/>
      <c r="G26" s="240"/>
      <c r="H26" s="240"/>
      <c r="I26" s="283"/>
      <c r="J26" s="285"/>
      <c r="K26" s="284"/>
      <c r="L26" s="240"/>
      <c r="M26" s="240"/>
      <c r="N26" s="240"/>
      <c r="O26" s="240"/>
      <c r="P26" s="240"/>
      <c r="Q26" s="240"/>
      <c r="R26" s="240"/>
      <c r="S26" s="240"/>
      <c r="T26" s="283"/>
      <c r="U26" s="288"/>
      <c r="V26" s="284"/>
      <c r="W26" s="240"/>
      <c r="X26" s="240"/>
      <c r="Y26" s="290" t="s">
        <v>440</v>
      </c>
      <c r="Z26" s="5" t="s">
        <v>358</v>
      </c>
      <c r="AA26" s="240"/>
      <c r="AB26" s="4"/>
      <c r="AC26" s="240"/>
      <c r="AD26" s="4"/>
      <c r="AE26" s="240"/>
      <c r="AF26" s="4"/>
      <c r="AG26" s="240"/>
      <c r="AH26" s="240"/>
      <c r="AI26" s="240"/>
      <c r="AJ26" s="240"/>
      <c r="AK26" s="240"/>
      <c r="AL26" s="240"/>
      <c r="AM26" s="240"/>
      <c r="AN26" s="240"/>
      <c r="AO26" s="240"/>
      <c r="AP26" s="292" t="s">
        <v>440</v>
      </c>
      <c r="AQ26" s="302"/>
      <c r="AR26" s="536" t="s">
        <v>148</v>
      </c>
    </row>
    <row r="27" spans="1:44" ht="22.5" customHeight="1" x14ac:dyDescent="0.15">
      <c r="A27">
        <v>22</v>
      </c>
      <c r="B27" s="323" t="s">
        <v>93</v>
      </c>
      <c r="C27" s="324" t="s">
        <v>95</v>
      </c>
      <c r="D27" s="325" t="s">
        <v>35</v>
      </c>
      <c r="E27" s="326" t="s">
        <v>36</v>
      </c>
      <c r="F27" s="240">
        <v>2859725008</v>
      </c>
      <c r="G27" s="240">
        <v>519050291</v>
      </c>
      <c r="H27" s="240">
        <v>279078196</v>
      </c>
      <c r="I27" s="283">
        <v>1474179748</v>
      </c>
      <c r="J27" s="285">
        <v>440</v>
      </c>
      <c r="K27" s="284">
        <v>5132033243</v>
      </c>
      <c r="L27" s="240"/>
      <c r="M27" s="240"/>
      <c r="N27" s="240"/>
      <c r="O27" s="240"/>
      <c r="P27" s="240"/>
      <c r="Q27" s="240"/>
      <c r="R27" s="240"/>
      <c r="S27" s="240"/>
      <c r="T27" s="283"/>
      <c r="U27" s="288"/>
      <c r="V27" s="284"/>
      <c r="W27" s="240">
        <v>5132033243</v>
      </c>
      <c r="X27" s="240"/>
      <c r="Y27" s="290" t="s">
        <v>440</v>
      </c>
      <c r="Z27" s="293" t="s">
        <v>239</v>
      </c>
      <c r="AA27" s="240">
        <v>5651</v>
      </c>
      <c r="AB27" s="4"/>
      <c r="AC27" s="240"/>
      <c r="AD27" s="4"/>
      <c r="AE27" s="240"/>
      <c r="AF27" s="4"/>
      <c r="AG27" s="240"/>
      <c r="AH27" s="240">
        <v>908163</v>
      </c>
      <c r="AI27" s="240"/>
      <c r="AJ27" s="240"/>
      <c r="AK27" s="240"/>
      <c r="AL27" s="240">
        <v>40</v>
      </c>
      <c r="AM27" s="240">
        <v>14060365</v>
      </c>
      <c r="AN27" s="240">
        <v>11663711</v>
      </c>
      <c r="AO27" s="240"/>
      <c r="AP27" s="292" t="s">
        <v>440</v>
      </c>
      <c r="AQ27" s="302">
        <v>55.72</v>
      </c>
      <c r="AR27" s="536" t="s">
        <v>148</v>
      </c>
    </row>
    <row r="28" spans="1:44" ht="22.5" customHeight="1" x14ac:dyDescent="0.15">
      <c r="A28">
        <v>23</v>
      </c>
      <c r="B28" s="323" t="s">
        <v>93</v>
      </c>
      <c r="C28" s="324" t="s">
        <v>332</v>
      </c>
      <c r="D28" s="325" t="s">
        <v>35</v>
      </c>
      <c r="E28" s="326" t="s">
        <v>36</v>
      </c>
      <c r="F28" s="240">
        <v>23969695070</v>
      </c>
      <c r="G28" s="240">
        <v>2219536268</v>
      </c>
      <c r="H28" s="240">
        <v>1751115534</v>
      </c>
      <c r="I28" s="283">
        <v>19527919054</v>
      </c>
      <c r="J28" s="285">
        <v>3688</v>
      </c>
      <c r="K28" s="284">
        <v>47468265926</v>
      </c>
      <c r="L28" s="240"/>
      <c r="M28" s="240"/>
      <c r="N28" s="240"/>
      <c r="O28" s="240"/>
      <c r="P28" s="240"/>
      <c r="Q28" s="240"/>
      <c r="R28" s="240"/>
      <c r="S28" s="240"/>
      <c r="T28" s="283"/>
      <c r="U28" s="295"/>
      <c r="V28" s="284"/>
      <c r="W28" s="240">
        <v>47468265926</v>
      </c>
      <c r="X28" s="240">
        <v>2896533600</v>
      </c>
      <c r="Y28" s="290">
        <v>6.1</v>
      </c>
      <c r="Z28" s="5" t="s">
        <v>240</v>
      </c>
      <c r="AA28" s="240">
        <v>70879599</v>
      </c>
      <c r="AB28" s="4"/>
      <c r="AC28" s="240"/>
      <c r="AD28" s="4"/>
      <c r="AE28" s="240"/>
      <c r="AF28" s="4"/>
      <c r="AG28" s="240"/>
      <c r="AH28" s="240">
        <v>669</v>
      </c>
      <c r="AI28" s="240"/>
      <c r="AJ28" s="240"/>
      <c r="AK28" s="240"/>
      <c r="AL28" s="240">
        <v>373</v>
      </c>
      <c r="AM28" s="240">
        <v>130050043</v>
      </c>
      <c r="AN28" s="240">
        <v>12871004</v>
      </c>
      <c r="AO28" s="240"/>
      <c r="AP28" s="292" t="s">
        <v>440</v>
      </c>
      <c r="AQ28" s="302">
        <v>50.5</v>
      </c>
      <c r="AR28" s="536" t="s">
        <v>148</v>
      </c>
    </row>
    <row r="29" spans="1:44" ht="22.5" customHeight="1" x14ac:dyDescent="0.15">
      <c r="A29">
        <v>24</v>
      </c>
      <c r="B29" s="328" t="s">
        <v>97</v>
      </c>
      <c r="C29" s="327" t="s">
        <v>428</v>
      </c>
      <c r="D29" s="328" t="s">
        <v>338</v>
      </c>
      <c r="E29" s="328" t="s">
        <v>339</v>
      </c>
      <c r="F29" s="240"/>
      <c r="G29" s="240"/>
      <c r="H29" s="240"/>
      <c r="I29" s="283"/>
      <c r="J29" s="286"/>
      <c r="K29" s="284"/>
      <c r="L29" s="240"/>
      <c r="M29" s="240"/>
      <c r="N29" s="240"/>
      <c r="O29" s="240"/>
      <c r="P29" s="240"/>
      <c r="Q29" s="240"/>
      <c r="R29" s="240"/>
      <c r="S29" s="240"/>
      <c r="T29" s="283"/>
      <c r="U29" s="296"/>
      <c r="V29" s="284"/>
      <c r="W29" s="240"/>
      <c r="X29" s="240"/>
      <c r="Y29" s="290" t="s">
        <v>440</v>
      </c>
      <c r="Z29" s="5" t="s">
        <v>360</v>
      </c>
      <c r="AA29" s="240"/>
      <c r="AB29" s="4" t="s">
        <v>361</v>
      </c>
      <c r="AC29" s="240"/>
      <c r="AD29" s="4"/>
      <c r="AE29" s="240"/>
      <c r="AF29" s="4"/>
      <c r="AG29" s="240"/>
      <c r="AH29" s="240"/>
      <c r="AI29" s="240"/>
      <c r="AJ29" s="240"/>
      <c r="AK29" s="240"/>
      <c r="AL29" s="240"/>
      <c r="AM29" s="240"/>
      <c r="AN29" s="240"/>
      <c r="AO29" s="240"/>
      <c r="AP29" s="292" t="s">
        <v>440</v>
      </c>
      <c r="AQ29" s="302"/>
      <c r="AR29" s="536" t="s">
        <v>148</v>
      </c>
    </row>
    <row r="30" spans="1:44" ht="22.5" customHeight="1" x14ac:dyDescent="0.15">
      <c r="A30">
        <v>25</v>
      </c>
      <c r="B30" s="328" t="s">
        <v>97</v>
      </c>
      <c r="C30" s="327" t="s">
        <v>427</v>
      </c>
      <c r="D30" s="328" t="s">
        <v>338</v>
      </c>
      <c r="E30" s="328" t="s">
        <v>339</v>
      </c>
      <c r="F30" s="240"/>
      <c r="G30" s="240"/>
      <c r="H30" s="240"/>
      <c r="I30" s="283"/>
      <c r="J30" s="285"/>
      <c r="K30" s="284"/>
      <c r="L30" s="240"/>
      <c r="M30" s="240"/>
      <c r="N30" s="240"/>
      <c r="O30" s="240"/>
      <c r="P30" s="240"/>
      <c r="Q30" s="240"/>
      <c r="R30" s="240"/>
      <c r="S30" s="240"/>
      <c r="T30" s="283"/>
      <c r="U30" s="288"/>
      <c r="V30" s="284"/>
      <c r="W30" s="240"/>
      <c r="X30" s="240"/>
      <c r="Y30" s="290" t="s">
        <v>440</v>
      </c>
      <c r="Z30" s="499" t="s">
        <v>363</v>
      </c>
      <c r="AA30" s="240"/>
      <c r="AB30" s="4" t="s">
        <v>443</v>
      </c>
      <c r="AC30" s="240"/>
      <c r="AD30" s="4" t="s">
        <v>361</v>
      </c>
      <c r="AE30" s="240"/>
      <c r="AF30" s="4"/>
      <c r="AG30" s="240"/>
      <c r="AH30" s="240"/>
      <c r="AI30" s="240"/>
      <c r="AJ30" s="240"/>
      <c r="AK30" s="240"/>
      <c r="AL30" s="240"/>
      <c r="AM30" s="240"/>
      <c r="AN30" s="240"/>
      <c r="AO30" s="240"/>
      <c r="AP30" s="292" t="s">
        <v>440</v>
      </c>
      <c r="AQ30" s="302"/>
      <c r="AR30" s="536" t="s">
        <v>148</v>
      </c>
    </row>
    <row r="31" spans="1:44" ht="22.5" customHeight="1" x14ac:dyDescent="0.15">
      <c r="A31">
        <v>26</v>
      </c>
      <c r="B31" s="328" t="s">
        <v>97</v>
      </c>
      <c r="C31" s="327" t="s">
        <v>355</v>
      </c>
      <c r="D31" s="328" t="s">
        <v>338</v>
      </c>
      <c r="E31" s="328" t="s">
        <v>339</v>
      </c>
      <c r="F31" s="240"/>
      <c r="G31" s="240"/>
      <c r="H31" s="240"/>
      <c r="I31" s="283"/>
      <c r="J31" s="285"/>
      <c r="K31" s="284"/>
      <c r="L31" s="240"/>
      <c r="M31" s="240"/>
      <c r="N31" s="240"/>
      <c r="O31" s="240"/>
      <c r="P31" s="240"/>
      <c r="Q31" s="240"/>
      <c r="R31" s="240"/>
      <c r="S31" s="240"/>
      <c r="T31" s="283"/>
      <c r="U31" s="288"/>
      <c r="V31" s="284"/>
      <c r="W31" s="240"/>
      <c r="X31" s="240"/>
      <c r="Y31" s="290" t="s">
        <v>440</v>
      </c>
      <c r="Z31" s="5" t="s">
        <v>360</v>
      </c>
      <c r="AA31" s="240"/>
      <c r="AB31" s="498" t="s">
        <v>362</v>
      </c>
      <c r="AC31" s="240"/>
      <c r="AD31" s="4"/>
      <c r="AE31" s="240"/>
      <c r="AF31" s="4"/>
      <c r="AG31" s="240"/>
      <c r="AH31" s="240"/>
      <c r="AI31" s="240"/>
      <c r="AJ31" s="240"/>
      <c r="AK31" s="240"/>
      <c r="AL31" s="240"/>
      <c r="AM31" s="240"/>
      <c r="AN31" s="240"/>
      <c r="AO31" s="240"/>
      <c r="AP31" s="292" t="s">
        <v>440</v>
      </c>
      <c r="AQ31" s="302"/>
      <c r="AR31" s="536" t="s">
        <v>148</v>
      </c>
    </row>
    <row r="32" spans="1:44" ht="22.5" customHeight="1" x14ac:dyDescent="0.15">
      <c r="A32">
        <v>27</v>
      </c>
      <c r="B32" s="323" t="s">
        <v>98</v>
      </c>
      <c r="C32" s="324" t="s">
        <v>99</v>
      </c>
      <c r="D32" s="325" t="s">
        <v>35</v>
      </c>
      <c r="E32" s="326" t="s">
        <v>36</v>
      </c>
      <c r="F32" s="240">
        <v>4107605012</v>
      </c>
      <c r="G32" s="240">
        <v>184445976</v>
      </c>
      <c r="H32" s="240">
        <v>120198774</v>
      </c>
      <c r="I32" s="283">
        <v>373761143</v>
      </c>
      <c r="J32" s="285">
        <v>632</v>
      </c>
      <c r="K32" s="284">
        <v>4786010906</v>
      </c>
      <c r="L32" s="240"/>
      <c r="M32" s="240"/>
      <c r="N32" s="240"/>
      <c r="O32" s="240"/>
      <c r="P32" s="240"/>
      <c r="Q32" s="240"/>
      <c r="R32" s="240"/>
      <c r="S32" s="240"/>
      <c r="T32" s="283"/>
      <c r="U32" s="288"/>
      <c r="V32" s="284"/>
      <c r="W32" s="240">
        <v>4786010906</v>
      </c>
      <c r="X32" s="240"/>
      <c r="Y32" s="290" t="s">
        <v>440</v>
      </c>
      <c r="Z32" s="293" t="s">
        <v>458</v>
      </c>
      <c r="AA32" s="240">
        <v>5287684</v>
      </c>
      <c r="AB32" s="4"/>
      <c r="AC32" s="240"/>
      <c r="AD32" s="4"/>
      <c r="AE32" s="240"/>
      <c r="AF32" s="4"/>
      <c r="AG32" s="240"/>
      <c r="AH32" s="240">
        <v>905</v>
      </c>
      <c r="AI32" s="240"/>
      <c r="AJ32" s="240"/>
      <c r="AK32" s="240"/>
      <c r="AL32" s="240">
        <v>37</v>
      </c>
      <c r="AM32" s="240">
        <v>13112358</v>
      </c>
      <c r="AN32" s="240">
        <v>7572802</v>
      </c>
      <c r="AO32" s="240"/>
      <c r="AP32" s="292" t="s">
        <v>440</v>
      </c>
      <c r="AQ32" s="302">
        <v>85.83</v>
      </c>
      <c r="AR32" s="536" t="s">
        <v>148</v>
      </c>
    </row>
    <row r="33" spans="1:44" ht="22.5" customHeight="1" x14ac:dyDescent="0.15">
      <c r="A33">
        <v>28</v>
      </c>
      <c r="B33" s="328" t="s">
        <v>98</v>
      </c>
      <c r="C33" s="327" t="s">
        <v>354</v>
      </c>
      <c r="D33" s="328" t="s">
        <v>338</v>
      </c>
      <c r="E33" s="328" t="s">
        <v>339</v>
      </c>
      <c r="F33" s="240"/>
      <c r="G33" s="240"/>
      <c r="H33" s="240"/>
      <c r="I33" s="283"/>
      <c r="J33" s="285"/>
      <c r="K33" s="284"/>
      <c r="L33" s="240"/>
      <c r="M33" s="240"/>
      <c r="N33" s="240"/>
      <c r="O33" s="240"/>
      <c r="P33" s="240"/>
      <c r="Q33" s="240"/>
      <c r="R33" s="240"/>
      <c r="S33" s="240"/>
      <c r="T33" s="283"/>
      <c r="U33" s="295"/>
      <c r="V33" s="284"/>
      <c r="W33" s="240"/>
      <c r="X33" s="240"/>
      <c r="Y33" s="290" t="s">
        <v>440</v>
      </c>
      <c r="Z33" s="291" t="s">
        <v>364</v>
      </c>
      <c r="AA33" s="240"/>
      <c r="AB33" s="4" t="s">
        <v>374</v>
      </c>
      <c r="AC33" s="240"/>
      <c r="AD33" s="4"/>
      <c r="AE33" s="240"/>
      <c r="AF33" s="4"/>
      <c r="AG33" s="240"/>
      <c r="AH33" s="240"/>
      <c r="AI33" s="240"/>
      <c r="AJ33" s="240"/>
      <c r="AK33" s="240"/>
      <c r="AL33" s="240"/>
      <c r="AM33" s="240"/>
      <c r="AN33" s="240"/>
      <c r="AO33" s="240"/>
      <c r="AP33" s="292" t="s">
        <v>440</v>
      </c>
      <c r="AQ33" s="302"/>
      <c r="AR33" s="536" t="s">
        <v>148</v>
      </c>
    </row>
    <row r="34" spans="1:44" ht="22.5" customHeight="1" x14ac:dyDescent="0.15">
      <c r="A34">
        <v>29</v>
      </c>
      <c r="B34" s="323" t="s">
        <v>98</v>
      </c>
      <c r="C34" s="324" t="s">
        <v>100</v>
      </c>
      <c r="D34" s="325" t="s">
        <v>35</v>
      </c>
      <c r="E34" s="326" t="s">
        <v>36</v>
      </c>
      <c r="F34" s="240">
        <v>16482415048</v>
      </c>
      <c r="G34" s="240">
        <v>1267720520</v>
      </c>
      <c r="H34" s="240">
        <v>1499495770</v>
      </c>
      <c r="I34" s="283">
        <v>8169915357</v>
      </c>
      <c r="J34" s="285"/>
      <c r="K34" s="284">
        <v>27419546696</v>
      </c>
      <c r="L34" s="240"/>
      <c r="M34" s="240"/>
      <c r="N34" s="240"/>
      <c r="O34" s="240"/>
      <c r="P34" s="240"/>
      <c r="Q34" s="240"/>
      <c r="R34" s="240"/>
      <c r="S34" s="240"/>
      <c r="T34" s="283"/>
      <c r="U34" s="288"/>
      <c r="V34" s="284"/>
      <c r="W34" s="240">
        <v>27419546696</v>
      </c>
      <c r="X34" s="240"/>
      <c r="Y34" s="290" t="s">
        <v>440</v>
      </c>
      <c r="Z34" s="496" t="s">
        <v>459</v>
      </c>
      <c r="AA34" s="240">
        <v>64262166</v>
      </c>
      <c r="AB34" s="4"/>
      <c r="AC34" s="240"/>
      <c r="AD34" s="4"/>
      <c r="AE34" s="240"/>
      <c r="AF34" s="4"/>
      <c r="AG34" s="240"/>
      <c r="AH34" s="240">
        <v>426</v>
      </c>
      <c r="AI34" s="240"/>
      <c r="AJ34" s="240"/>
      <c r="AK34" s="240"/>
      <c r="AL34" s="240">
        <v>215</v>
      </c>
      <c r="AM34" s="240">
        <v>75122045</v>
      </c>
      <c r="AN34" s="240"/>
      <c r="AO34" s="240"/>
      <c r="AP34" s="292" t="s">
        <v>440</v>
      </c>
      <c r="AQ34" s="302">
        <v>60.11</v>
      </c>
      <c r="AR34" s="536" t="s">
        <v>148</v>
      </c>
    </row>
    <row r="35" spans="1:44" ht="22.5" customHeight="1" x14ac:dyDescent="0.15">
      <c r="A35">
        <v>30</v>
      </c>
      <c r="B35" s="323" t="s">
        <v>98</v>
      </c>
      <c r="C35" s="324" t="s">
        <v>101</v>
      </c>
      <c r="D35" s="325" t="s">
        <v>35</v>
      </c>
      <c r="E35" s="326" t="s">
        <v>36</v>
      </c>
      <c r="F35" s="240">
        <v>9047130026</v>
      </c>
      <c r="G35" s="240">
        <v>695846594</v>
      </c>
      <c r="H35" s="240">
        <v>823067079</v>
      </c>
      <c r="I35" s="283">
        <v>6344676654</v>
      </c>
      <c r="J35" s="285">
        <v>1392</v>
      </c>
      <c r="K35" s="284">
        <v>16910720354</v>
      </c>
      <c r="L35" s="240"/>
      <c r="M35" s="240"/>
      <c r="N35" s="240"/>
      <c r="O35" s="240"/>
      <c r="P35" s="240"/>
      <c r="Q35" s="240"/>
      <c r="R35" s="240"/>
      <c r="S35" s="240"/>
      <c r="T35" s="283"/>
      <c r="U35" s="295"/>
      <c r="V35" s="284"/>
      <c r="W35" s="240">
        <v>16910720354</v>
      </c>
      <c r="X35" s="240"/>
      <c r="Y35" s="290" t="s">
        <v>440</v>
      </c>
      <c r="Z35" s="309" t="s">
        <v>460</v>
      </c>
      <c r="AA35" s="240">
        <v>38439708</v>
      </c>
      <c r="AB35" s="4"/>
      <c r="AC35" s="240"/>
      <c r="AD35" s="4"/>
      <c r="AE35" s="240"/>
      <c r="AF35" s="4"/>
      <c r="AG35" s="240"/>
      <c r="AH35" s="240">
        <v>439</v>
      </c>
      <c r="AI35" s="240"/>
      <c r="AJ35" s="240"/>
      <c r="AK35" s="240"/>
      <c r="AL35" s="240">
        <v>132</v>
      </c>
      <c r="AM35" s="240">
        <v>46330740</v>
      </c>
      <c r="AN35" s="240">
        <v>12148506</v>
      </c>
      <c r="AO35" s="240"/>
      <c r="AP35" s="292" t="s">
        <v>440</v>
      </c>
      <c r="AQ35" s="302">
        <v>53.5</v>
      </c>
      <c r="AR35" s="536" t="s">
        <v>148</v>
      </c>
    </row>
    <row r="36" spans="1:44" ht="22.5" customHeight="1" x14ac:dyDescent="0.15">
      <c r="A36">
        <v>31</v>
      </c>
      <c r="B36" s="328" t="s">
        <v>102</v>
      </c>
      <c r="C36" s="327" t="s">
        <v>430</v>
      </c>
      <c r="D36" s="328" t="s">
        <v>338</v>
      </c>
      <c r="E36" s="328" t="s">
        <v>345</v>
      </c>
      <c r="F36" s="240"/>
      <c r="G36" s="240"/>
      <c r="H36" s="240"/>
      <c r="I36" s="283"/>
      <c r="J36" s="285"/>
      <c r="K36" s="284"/>
      <c r="L36" s="240"/>
      <c r="M36" s="240"/>
      <c r="N36" s="240"/>
      <c r="O36" s="240"/>
      <c r="P36" s="240"/>
      <c r="Q36" s="240"/>
      <c r="R36" s="240"/>
      <c r="S36" s="240"/>
      <c r="T36" s="283"/>
      <c r="U36" s="288"/>
      <c r="V36" s="284"/>
      <c r="W36" s="240"/>
      <c r="X36" s="240"/>
      <c r="Y36" s="290" t="s">
        <v>440</v>
      </c>
      <c r="Z36" s="297" t="s">
        <v>365</v>
      </c>
      <c r="AA36" s="240"/>
      <c r="AB36" s="4" t="s">
        <v>444</v>
      </c>
      <c r="AC36" s="240"/>
      <c r="AD36" s="4"/>
      <c r="AE36" s="240"/>
      <c r="AF36" s="4"/>
      <c r="AG36" s="240"/>
      <c r="AH36" s="240"/>
      <c r="AI36" s="240"/>
      <c r="AJ36" s="240"/>
      <c r="AK36" s="240"/>
      <c r="AL36" s="310"/>
      <c r="AM36" s="240"/>
      <c r="AN36" s="240"/>
      <c r="AO36" s="240"/>
      <c r="AP36" s="292" t="s">
        <v>440</v>
      </c>
      <c r="AQ36" s="302"/>
      <c r="AR36" s="537" t="s">
        <v>149</v>
      </c>
    </row>
    <row r="37" spans="1:44" ht="22.5" customHeight="1" x14ac:dyDescent="0.15">
      <c r="A37">
        <v>32</v>
      </c>
      <c r="B37" s="323" t="s">
        <v>102</v>
      </c>
      <c r="C37" s="324" t="s">
        <v>224</v>
      </c>
      <c r="D37" s="325" t="s">
        <v>35</v>
      </c>
      <c r="E37" s="326" t="s">
        <v>36</v>
      </c>
      <c r="F37" s="240">
        <v>7799250</v>
      </c>
      <c r="G37" s="240">
        <v>9339746</v>
      </c>
      <c r="H37" s="240">
        <v>1005378</v>
      </c>
      <c r="I37" s="283">
        <v>111751744</v>
      </c>
      <c r="J37" s="285">
        <v>1.2</v>
      </c>
      <c r="K37" s="284">
        <v>129896119</v>
      </c>
      <c r="L37" s="240"/>
      <c r="M37" s="240"/>
      <c r="N37" s="240"/>
      <c r="O37" s="240"/>
      <c r="P37" s="240"/>
      <c r="Q37" s="240"/>
      <c r="R37" s="240"/>
      <c r="S37" s="240"/>
      <c r="T37" s="283"/>
      <c r="U37" s="288"/>
      <c r="V37" s="284"/>
      <c r="W37" s="240">
        <v>129896119</v>
      </c>
      <c r="X37" s="240">
        <v>41196000</v>
      </c>
      <c r="Y37" s="290">
        <v>31.71</v>
      </c>
      <c r="Z37" s="502" t="s">
        <v>508</v>
      </c>
      <c r="AA37" s="240">
        <v>3117</v>
      </c>
      <c r="AB37" s="4" t="s">
        <v>241</v>
      </c>
      <c r="AC37" s="240">
        <v>2801</v>
      </c>
      <c r="AD37" s="4"/>
      <c r="AE37" s="240"/>
      <c r="AF37" s="4"/>
      <c r="AG37" s="240"/>
      <c r="AH37" s="240">
        <v>41673</v>
      </c>
      <c r="AI37" s="240">
        <v>46374</v>
      </c>
      <c r="AJ37" s="240"/>
      <c r="AK37" s="240"/>
      <c r="AL37" s="240">
        <v>1</v>
      </c>
      <c r="AM37" s="240">
        <v>355879</v>
      </c>
      <c r="AN37" s="240">
        <v>108246766</v>
      </c>
      <c r="AO37" s="240"/>
      <c r="AP37" s="292" t="s">
        <v>440</v>
      </c>
      <c r="AQ37" s="302">
        <v>6</v>
      </c>
      <c r="AR37" s="537" t="s">
        <v>148</v>
      </c>
    </row>
    <row r="38" spans="1:44" ht="22.5" customHeight="1" x14ac:dyDescent="0.15">
      <c r="A38">
        <v>33</v>
      </c>
      <c r="B38" s="328" t="s">
        <v>102</v>
      </c>
      <c r="C38" s="327" t="s">
        <v>429</v>
      </c>
      <c r="D38" s="328" t="s">
        <v>338</v>
      </c>
      <c r="E38" s="328" t="s">
        <v>345</v>
      </c>
      <c r="F38" s="240"/>
      <c r="G38" s="240"/>
      <c r="H38" s="240"/>
      <c r="I38" s="283"/>
      <c r="J38" s="285"/>
      <c r="K38" s="284"/>
      <c r="L38" s="240"/>
      <c r="M38" s="240"/>
      <c r="N38" s="240"/>
      <c r="O38" s="240"/>
      <c r="P38" s="240"/>
      <c r="Q38" s="240"/>
      <c r="R38" s="240"/>
      <c r="S38" s="240"/>
      <c r="T38" s="283"/>
      <c r="U38" s="288"/>
      <c r="V38" s="284"/>
      <c r="W38" s="240"/>
      <c r="X38" s="240"/>
      <c r="Y38" s="290" t="s">
        <v>440</v>
      </c>
      <c r="Z38" s="5" t="s">
        <v>365</v>
      </c>
      <c r="AA38" s="240"/>
      <c r="AB38" s="4" t="s">
        <v>444</v>
      </c>
      <c r="AC38" s="240"/>
      <c r="AD38" s="4"/>
      <c r="AE38" s="240"/>
      <c r="AF38" s="4"/>
      <c r="AG38" s="240"/>
      <c r="AH38" s="240"/>
      <c r="AI38" s="240"/>
      <c r="AJ38" s="240"/>
      <c r="AK38" s="240"/>
      <c r="AL38" s="240"/>
      <c r="AM38" s="240"/>
      <c r="AN38" s="240"/>
      <c r="AO38" s="240"/>
      <c r="AP38" s="292" t="s">
        <v>440</v>
      </c>
      <c r="AQ38" s="302"/>
      <c r="AR38" s="537" t="s">
        <v>149</v>
      </c>
    </row>
    <row r="39" spans="1:44" ht="22.5" customHeight="1" x14ac:dyDescent="0.15">
      <c r="A39">
        <v>34</v>
      </c>
      <c r="B39" s="328" t="s">
        <v>102</v>
      </c>
      <c r="C39" s="327" t="s">
        <v>431</v>
      </c>
      <c r="D39" s="328" t="s">
        <v>338</v>
      </c>
      <c r="E39" s="328" t="s">
        <v>345</v>
      </c>
      <c r="F39" s="240"/>
      <c r="G39" s="240"/>
      <c r="H39" s="240"/>
      <c r="I39" s="283"/>
      <c r="J39" s="286"/>
      <c r="K39" s="284"/>
      <c r="L39" s="240"/>
      <c r="M39" s="240"/>
      <c r="N39" s="240"/>
      <c r="O39" s="240"/>
      <c r="P39" s="240"/>
      <c r="Q39" s="240"/>
      <c r="R39" s="240"/>
      <c r="S39" s="240"/>
      <c r="T39" s="283"/>
      <c r="U39" s="296"/>
      <c r="V39" s="284"/>
      <c r="W39" s="240"/>
      <c r="X39" s="240"/>
      <c r="Y39" s="290" t="s">
        <v>440</v>
      </c>
      <c r="Z39" s="5" t="s">
        <v>445</v>
      </c>
      <c r="AA39" s="240"/>
      <c r="AB39" s="4" t="s">
        <v>446</v>
      </c>
      <c r="AC39" s="240"/>
      <c r="AD39" s="4"/>
      <c r="AE39" s="240"/>
      <c r="AF39" s="4"/>
      <c r="AG39" s="240"/>
      <c r="AH39" s="240"/>
      <c r="AI39" s="240"/>
      <c r="AJ39" s="240"/>
      <c r="AK39" s="240"/>
      <c r="AL39" s="240"/>
      <c r="AM39" s="240"/>
      <c r="AN39" s="240"/>
      <c r="AO39" s="298"/>
      <c r="AP39" s="292" t="s">
        <v>440</v>
      </c>
      <c r="AQ39" s="302"/>
      <c r="AR39" s="537" t="s">
        <v>149</v>
      </c>
    </row>
    <row r="40" spans="1:44" ht="22.5" customHeight="1" x14ac:dyDescent="0.15">
      <c r="A40">
        <v>35</v>
      </c>
      <c r="B40" s="328" t="s">
        <v>102</v>
      </c>
      <c r="C40" s="327" t="s">
        <v>435</v>
      </c>
      <c r="D40" s="328" t="s">
        <v>338</v>
      </c>
      <c r="E40" s="328" t="s">
        <v>345</v>
      </c>
      <c r="F40" s="240"/>
      <c r="G40" s="240"/>
      <c r="H40" s="240"/>
      <c r="I40" s="283"/>
      <c r="J40" s="285"/>
      <c r="K40" s="284"/>
      <c r="L40" s="240"/>
      <c r="M40" s="240"/>
      <c r="N40" s="240"/>
      <c r="O40" s="240"/>
      <c r="P40" s="240"/>
      <c r="Q40" s="240"/>
      <c r="R40" s="240"/>
      <c r="S40" s="240"/>
      <c r="T40" s="283"/>
      <c r="U40" s="295"/>
      <c r="V40" s="284"/>
      <c r="W40" s="240"/>
      <c r="X40" s="240"/>
      <c r="Y40" s="290" t="s">
        <v>440</v>
      </c>
      <c r="Z40" s="293" t="s">
        <v>379</v>
      </c>
      <c r="AA40" s="240"/>
      <c r="AB40" s="4"/>
      <c r="AC40" s="240"/>
      <c r="AD40" s="4"/>
      <c r="AE40" s="240"/>
      <c r="AF40" s="4"/>
      <c r="AG40" s="240"/>
      <c r="AH40" s="240"/>
      <c r="AI40" s="240"/>
      <c r="AJ40" s="240"/>
      <c r="AK40" s="240"/>
      <c r="AL40" s="240"/>
      <c r="AM40" s="240"/>
      <c r="AN40" s="240"/>
      <c r="AO40" s="240"/>
      <c r="AP40" s="292" t="s">
        <v>440</v>
      </c>
      <c r="AQ40" s="302"/>
      <c r="AR40" s="537" t="s">
        <v>149</v>
      </c>
    </row>
    <row r="41" spans="1:44" ht="22.5" customHeight="1" x14ac:dyDescent="0.15">
      <c r="A41">
        <v>36</v>
      </c>
      <c r="B41" s="328" t="s">
        <v>102</v>
      </c>
      <c r="C41" s="327" t="s">
        <v>436</v>
      </c>
      <c r="D41" s="328" t="s">
        <v>338</v>
      </c>
      <c r="E41" s="328" t="s">
        <v>345</v>
      </c>
      <c r="F41" s="240"/>
      <c r="G41" s="240"/>
      <c r="H41" s="240"/>
      <c r="I41" s="283"/>
      <c r="J41" s="285"/>
      <c r="K41" s="284"/>
      <c r="L41" s="240"/>
      <c r="M41" s="240"/>
      <c r="N41" s="240"/>
      <c r="O41" s="240"/>
      <c r="P41" s="240"/>
      <c r="Q41" s="240"/>
      <c r="R41" s="240"/>
      <c r="S41" s="240"/>
      <c r="T41" s="283"/>
      <c r="U41" s="288"/>
      <c r="V41" s="284"/>
      <c r="W41" s="240"/>
      <c r="X41" s="240"/>
      <c r="Y41" s="290" t="s">
        <v>440</v>
      </c>
      <c r="Z41" s="5" t="s">
        <v>447</v>
      </c>
      <c r="AA41" s="240"/>
      <c r="AB41" s="4"/>
      <c r="AC41" s="240"/>
      <c r="AD41" s="4"/>
      <c r="AE41" s="240"/>
      <c r="AF41" s="4"/>
      <c r="AG41" s="240"/>
      <c r="AH41" s="240"/>
      <c r="AI41" s="240"/>
      <c r="AJ41" s="240"/>
      <c r="AK41" s="240"/>
      <c r="AL41" s="240"/>
      <c r="AM41" s="240"/>
      <c r="AN41" s="240"/>
      <c r="AO41" s="240"/>
      <c r="AP41" s="292" t="s">
        <v>440</v>
      </c>
      <c r="AQ41" s="302"/>
      <c r="AR41" s="537" t="s">
        <v>149</v>
      </c>
    </row>
    <row r="42" spans="1:44" ht="22.5" customHeight="1" x14ac:dyDescent="0.15">
      <c r="A42">
        <v>37</v>
      </c>
      <c r="B42" s="328" t="s">
        <v>102</v>
      </c>
      <c r="C42" s="327" t="s">
        <v>432</v>
      </c>
      <c r="D42" s="328" t="s">
        <v>338</v>
      </c>
      <c r="E42" s="328" t="s">
        <v>345</v>
      </c>
      <c r="F42" s="240"/>
      <c r="G42" s="240"/>
      <c r="H42" s="240"/>
      <c r="I42" s="283"/>
      <c r="J42" s="285"/>
      <c r="K42" s="284"/>
      <c r="L42" s="240"/>
      <c r="M42" s="240"/>
      <c r="N42" s="240"/>
      <c r="O42" s="240"/>
      <c r="P42" s="240"/>
      <c r="Q42" s="240"/>
      <c r="R42" s="240"/>
      <c r="S42" s="240"/>
      <c r="T42" s="283"/>
      <c r="U42" s="288"/>
      <c r="V42" s="284"/>
      <c r="W42" s="240"/>
      <c r="X42" s="240"/>
      <c r="Y42" s="290" t="s">
        <v>440</v>
      </c>
      <c r="Z42" s="293" t="s">
        <v>366</v>
      </c>
      <c r="AA42" s="240"/>
      <c r="AB42" s="4"/>
      <c r="AC42" s="240"/>
      <c r="AD42" s="4"/>
      <c r="AE42" s="240"/>
      <c r="AF42" s="4"/>
      <c r="AG42" s="240"/>
      <c r="AH42" s="240"/>
      <c r="AI42" s="240"/>
      <c r="AJ42" s="240"/>
      <c r="AK42" s="240"/>
      <c r="AL42" s="310"/>
      <c r="AM42" s="240"/>
      <c r="AN42" s="240"/>
      <c r="AO42" s="240"/>
      <c r="AP42" s="292" t="s">
        <v>440</v>
      </c>
      <c r="AQ42" s="302"/>
      <c r="AR42" s="537" t="s">
        <v>149</v>
      </c>
    </row>
    <row r="43" spans="1:44" ht="22.5" customHeight="1" x14ac:dyDescent="0.15">
      <c r="A43">
        <v>38</v>
      </c>
      <c r="B43" s="328" t="s">
        <v>102</v>
      </c>
      <c r="C43" s="327" t="s">
        <v>433</v>
      </c>
      <c r="D43" s="328" t="s">
        <v>338</v>
      </c>
      <c r="E43" s="328" t="s">
        <v>345</v>
      </c>
      <c r="F43" s="240"/>
      <c r="G43" s="240"/>
      <c r="H43" s="240"/>
      <c r="I43" s="283"/>
      <c r="J43" s="285"/>
      <c r="K43" s="284"/>
      <c r="L43" s="240"/>
      <c r="M43" s="240"/>
      <c r="N43" s="240"/>
      <c r="O43" s="240"/>
      <c r="P43" s="240"/>
      <c r="Q43" s="240"/>
      <c r="R43" s="240"/>
      <c r="S43" s="240"/>
      <c r="T43" s="283"/>
      <c r="U43" s="285"/>
      <c r="V43" s="284"/>
      <c r="W43" s="240"/>
      <c r="X43" s="240"/>
      <c r="Y43" s="290" t="s">
        <v>440</v>
      </c>
      <c r="Z43" s="293"/>
      <c r="AA43" s="240"/>
      <c r="AB43" s="4"/>
      <c r="AC43" s="240"/>
      <c r="AD43" s="4"/>
      <c r="AE43" s="240"/>
      <c r="AF43" s="4"/>
      <c r="AG43" s="240"/>
      <c r="AH43" s="240"/>
      <c r="AI43" s="240"/>
      <c r="AJ43" s="240"/>
      <c r="AK43" s="240"/>
      <c r="AL43" s="240"/>
      <c r="AM43" s="240"/>
      <c r="AN43" s="240"/>
      <c r="AO43" s="240"/>
      <c r="AP43" s="292" t="s">
        <v>440</v>
      </c>
      <c r="AQ43" s="302"/>
      <c r="AR43" s="537" t="s">
        <v>149</v>
      </c>
    </row>
    <row r="44" spans="1:44" ht="22.5" customHeight="1" x14ac:dyDescent="0.15">
      <c r="A44">
        <v>39</v>
      </c>
      <c r="B44" s="328" t="s">
        <v>102</v>
      </c>
      <c r="C44" s="327" t="s">
        <v>438</v>
      </c>
      <c r="D44" s="328" t="s">
        <v>338</v>
      </c>
      <c r="E44" s="328" t="s">
        <v>345</v>
      </c>
      <c r="F44" s="240"/>
      <c r="G44" s="240"/>
      <c r="H44" s="240"/>
      <c r="I44" s="283"/>
      <c r="J44" s="285"/>
      <c r="K44" s="284"/>
      <c r="L44" s="240"/>
      <c r="M44" s="240"/>
      <c r="N44" s="240"/>
      <c r="O44" s="240"/>
      <c r="P44" s="240"/>
      <c r="Q44" s="240"/>
      <c r="R44" s="240"/>
      <c r="S44" s="240"/>
      <c r="T44" s="283"/>
      <c r="U44" s="288"/>
      <c r="V44" s="284"/>
      <c r="W44" s="240"/>
      <c r="X44" s="240"/>
      <c r="Y44" s="290" t="s">
        <v>440</v>
      </c>
      <c r="Z44" s="495" t="s">
        <v>477</v>
      </c>
      <c r="AA44" s="240"/>
      <c r="AB44" s="498" t="s">
        <v>478</v>
      </c>
      <c r="AC44" s="240"/>
      <c r="AD44" s="4"/>
      <c r="AE44" s="240"/>
      <c r="AF44" s="4"/>
      <c r="AG44" s="240"/>
      <c r="AH44" s="240"/>
      <c r="AI44" s="240"/>
      <c r="AJ44" s="240"/>
      <c r="AK44" s="240"/>
      <c r="AL44" s="240"/>
      <c r="AM44" s="240"/>
      <c r="AN44" s="240"/>
      <c r="AO44" s="240"/>
      <c r="AP44" s="292" t="s">
        <v>440</v>
      </c>
      <c r="AQ44" s="302"/>
      <c r="AR44" s="537" t="s">
        <v>149</v>
      </c>
    </row>
    <row r="45" spans="1:44" ht="22.5" customHeight="1" x14ac:dyDescent="0.15">
      <c r="A45">
        <v>40</v>
      </c>
      <c r="B45" s="328" t="s">
        <v>102</v>
      </c>
      <c r="C45" s="327" t="s">
        <v>462</v>
      </c>
      <c r="D45" s="328" t="s">
        <v>338</v>
      </c>
      <c r="E45" s="328" t="s">
        <v>345</v>
      </c>
      <c r="F45" s="240"/>
      <c r="G45" s="240"/>
      <c r="H45" s="240"/>
      <c r="I45" s="283"/>
      <c r="J45" s="285"/>
      <c r="K45" s="284"/>
      <c r="L45" s="240"/>
      <c r="M45" s="240"/>
      <c r="N45" s="240"/>
      <c r="O45" s="240"/>
      <c r="P45" s="240"/>
      <c r="Q45" s="240"/>
      <c r="R45" s="240"/>
      <c r="S45" s="240"/>
      <c r="T45" s="283"/>
      <c r="U45" s="288"/>
      <c r="V45" s="284"/>
      <c r="W45" s="240"/>
      <c r="X45" s="240"/>
      <c r="Y45" s="290" t="s">
        <v>440</v>
      </c>
      <c r="Z45" s="5" t="s">
        <v>477</v>
      </c>
      <c r="AA45" s="240"/>
      <c r="AB45" s="498" t="s">
        <v>478</v>
      </c>
      <c r="AC45" s="240"/>
      <c r="AD45" s="4"/>
      <c r="AE45" s="240"/>
      <c r="AF45" s="4"/>
      <c r="AG45" s="240"/>
      <c r="AH45" s="240"/>
      <c r="AI45" s="240"/>
      <c r="AJ45" s="240"/>
      <c r="AK45" s="240"/>
      <c r="AL45" s="310"/>
      <c r="AM45" s="240"/>
      <c r="AN45" s="240"/>
      <c r="AO45" s="240"/>
      <c r="AP45" s="292" t="s">
        <v>440</v>
      </c>
      <c r="AQ45" s="302"/>
      <c r="AR45" s="537" t="s">
        <v>149</v>
      </c>
    </row>
    <row r="46" spans="1:44" ht="22.5" customHeight="1" x14ac:dyDescent="0.15">
      <c r="A46">
        <v>41</v>
      </c>
      <c r="B46" s="328" t="s">
        <v>102</v>
      </c>
      <c r="C46" s="327" t="s">
        <v>352</v>
      </c>
      <c r="D46" s="328" t="s">
        <v>338</v>
      </c>
      <c r="E46" s="328" t="s">
        <v>345</v>
      </c>
      <c r="F46" s="240"/>
      <c r="G46" s="240"/>
      <c r="H46" s="240"/>
      <c r="I46" s="283"/>
      <c r="J46" s="285"/>
      <c r="K46" s="284"/>
      <c r="L46" s="240"/>
      <c r="M46" s="240"/>
      <c r="N46" s="240"/>
      <c r="O46" s="240"/>
      <c r="P46" s="240"/>
      <c r="Q46" s="240"/>
      <c r="R46" s="240"/>
      <c r="S46" s="240"/>
      <c r="T46" s="283"/>
      <c r="U46" s="288"/>
      <c r="V46" s="284"/>
      <c r="W46" s="240"/>
      <c r="X46" s="240"/>
      <c r="Y46" s="290" t="s">
        <v>440</v>
      </c>
      <c r="Z46" s="5" t="s">
        <v>448</v>
      </c>
      <c r="AA46" s="240"/>
      <c r="AB46" s="4" t="s">
        <v>449</v>
      </c>
      <c r="AC46" s="240"/>
      <c r="AD46" s="4"/>
      <c r="AE46" s="240"/>
      <c r="AF46" s="4"/>
      <c r="AG46" s="240"/>
      <c r="AH46" s="240"/>
      <c r="AI46" s="240"/>
      <c r="AJ46" s="240"/>
      <c r="AK46" s="240"/>
      <c r="AL46" s="240"/>
      <c r="AM46" s="240"/>
      <c r="AN46" s="240"/>
      <c r="AO46" s="240"/>
      <c r="AP46" s="292" t="s">
        <v>440</v>
      </c>
      <c r="AQ46" s="302"/>
      <c r="AR46" s="537" t="s">
        <v>149</v>
      </c>
    </row>
    <row r="47" spans="1:44" ht="22.5" customHeight="1" x14ac:dyDescent="0.15">
      <c r="A47">
        <v>42</v>
      </c>
      <c r="B47" s="328" t="s">
        <v>102</v>
      </c>
      <c r="C47" s="327" t="s">
        <v>353</v>
      </c>
      <c r="D47" s="328" t="s">
        <v>338</v>
      </c>
      <c r="E47" s="328" t="s">
        <v>345</v>
      </c>
      <c r="F47" s="240"/>
      <c r="G47" s="240"/>
      <c r="H47" s="240"/>
      <c r="I47" s="283"/>
      <c r="J47" s="285"/>
      <c r="K47" s="284"/>
      <c r="L47" s="240"/>
      <c r="M47" s="240"/>
      <c r="N47" s="240"/>
      <c r="O47" s="240"/>
      <c r="P47" s="240"/>
      <c r="Q47" s="240"/>
      <c r="R47" s="240"/>
      <c r="S47" s="240"/>
      <c r="T47" s="283"/>
      <c r="U47" s="288"/>
      <c r="V47" s="284"/>
      <c r="W47" s="240"/>
      <c r="X47" s="240"/>
      <c r="Y47" s="290" t="s">
        <v>440</v>
      </c>
      <c r="Z47" s="5" t="s">
        <v>448</v>
      </c>
      <c r="AA47" s="240"/>
      <c r="AB47" s="4" t="s">
        <v>367</v>
      </c>
      <c r="AC47" s="240"/>
      <c r="AD47" s="4"/>
      <c r="AE47" s="240"/>
      <c r="AF47" s="4"/>
      <c r="AG47" s="240"/>
      <c r="AH47" s="240"/>
      <c r="AI47" s="240"/>
      <c r="AJ47" s="240"/>
      <c r="AK47" s="240"/>
      <c r="AL47" s="310"/>
      <c r="AM47" s="240"/>
      <c r="AN47" s="240"/>
      <c r="AO47" s="240"/>
      <c r="AP47" s="292" t="s">
        <v>440</v>
      </c>
      <c r="AQ47" s="302"/>
      <c r="AR47" s="537" t="s">
        <v>149</v>
      </c>
    </row>
    <row r="48" spans="1:44" ht="22.5" customHeight="1" x14ac:dyDescent="0.15">
      <c r="A48">
        <v>43</v>
      </c>
      <c r="B48" s="323" t="s">
        <v>102</v>
      </c>
      <c r="C48" s="324" t="s">
        <v>103</v>
      </c>
      <c r="D48" s="325" t="s">
        <v>87</v>
      </c>
      <c r="E48" s="326" t="s">
        <v>38</v>
      </c>
      <c r="F48" s="240">
        <v>12998750</v>
      </c>
      <c r="G48" s="240">
        <v>17910391</v>
      </c>
      <c r="H48" s="240">
        <v>1459779</v>
      </c>
      <c r="I48" s="283"/>
      <c r="J48" s="285">
        <v>2</v>
      </c>
      <c r="K48" s="284">
        <v>32368920</v>
      </c>
      <c r="L48" s="240">
        <v>2223451697</v>
      </c>
      <c r="M48" s="240">
        <v>80122304538</v>
      </c>
      <c r="N48" s="240">
        <v>564908353</v>
      </c>
      <c r="O48" s="240">
        <v>652664640</v>
      </c>
      <c r="P48" s="240">
        <v>2788360050</v>
      </c>
      <c r="Q48" s="240">
        <v>8676834</v>
      </c>
      <c r="R48" s="240">
        <v>80774969178</v>
      </c>
      <c r="S48" s="240"/>
      <c r="T48" s="283">
        <v>59711</v>
      </c>
      <c r="U48" s="288">
        <v>300.2</v>
      </c>
      <c r="V48" s="284">
        <v>83572065774</v>
      </c>
      <c r="W48" s="240">
        <v>83604434694</v>
      </c>
      <c r="X48" s="240">
        <v>42237585116</v>
      </c>
      <c r="Y48" s="290">
        <v>50.52</v>
      </c>
      <c r="Z48" s="5" t="s">
        <v>242</v>
      </c>
      <c r="AA48" s="240">
        <v>5364289</v>
      </c>
      <c r="AB48" s="4"/>
      <c r="AC48" s="240"/>
      <c r="AD48" s="4"/>
      <c r="AE48" s="240"/>
      <c r="AF48" s="4"/>
      <c r="AG48" s="240"/>
      <c r="AH48" s="240">
        <v>15585</v>
      </c>
      <c r="AI48" s="240"/>
      <c r="AJ48" s="240"/>
      <c r="AK48" s="240"/>
      <c r="AL48" s="240">
        <v>657</v>
      </c>
      <c r="AM48" s="240">
        <v>229053245</v>
      </c>
      <c r="AN48" s="240">
        <v>276652662</v>
      </c>
      <c r="AO48" s="240">
        <v>1769401460682</v>
      </c>
      <c r="AP48" s="292">
        <v>4.7300000000000004</v>
      </c>
      <c r="AQ48" s="302">
        <v>3.36</v>
      </c>
      <c r="AR48" s="537" t="s">
        <v>151</v>
      </c>
    </row>
    <row r="49" spans="1:44" ht="22.5" customHeight="1" x14ac:dyDescent="0.15">
      <c r="A49">
        <v>44</v>
      </c>
      <c r="B49" s="323" t="s">
        <v>104</v>
      </c>
      <c r="C49" s="324" t="s">
        <v>105</v>
      </c>
      <c r="D49" s="325" t="s">
        <v>35</v>
      </c>
      <c r="E49" s="326" t="s">
        <v>36</v>
      </c>
      <c r="F49" s="240">
        <v>1748981817</v>
      </c>
      <c r="G49" s="240">
        <v>30209198</v>
      </c>
      <c r="H49" s="240">
        <v>67405426</v>
      </c>
      <c r="I49" s="283">
        <v>634975239</v>
      </c>
      <c r="J49" s="285">
        <v>269.10000000000002</v>
      </c>
      <c r="K49" s="284">
        <v>2481571681</v>
      </c>
      <c r="L49" s="240"/>
      <c r="M49" s="240"/>
      <c r="N49" s="240"/>
      <c r="O49" s="240"/>
      <c r="P49" s="240"/>
      <c r="Q49" s="240"/>
      <c r="R49" s="240"/>
      <c r="S49" s="240"/>
      <c r="T49" s="283"/>
      <c r="U49" s="288"/>
      <c r="V49" s="284"/>
      <c r="W49" s="240">
        <v>2481571681</v>
      </c>
      <c r="X49" s="240">
        <v>246993360</v>
      </c>
      <c r="Y49" s="290">
        <v>9.9499999999999993</v>
      </c>
      <c r="Z49" s="297" t="s">
        <v>243</v>
      </c>
      <c r="AA49" s="240">
        <v>38038030</v>
      </c>
      <c r="AB49" s="4"/>
      <c r="AC49" s="240"/>
      <c r="AD49" s="4"/>
      <c r="AE49" s="240"/>
      <c r="AF49" s="4"/>
      <c r="AG49" s="240"/>
      <c r="AH49" s="240">
        <v>65</v>
      </c>
      <c r="AI49" s="240"/>
      <c r="AJ49" s="240"/>
      <c r="AK49" s="240"/>
      <c r="AL49" s="240">
        <v>19</v>
      </c>
      <c r="AM49" s="240">
        <v>6798826</v>
      </c>
      <c r="AN49" s="240">
        <v>9221745</v>
      </c>
      <c r="AO49" s="240"/>
      <c r="AP49" s="292" t="s">
        <v>440</v>
      </c>
      <c r="AQ49" s="302">
        <v>70.48</v>
      </c>
      <c r="AR49" s="537" t="s">
        <v>148</v>
      </c>
    </row>
    <row r="50" spans="1:44" ht="22.5" customHeight="1" x14ac:dyDescent="0.15">
      <c r="A50">
        <v>45</v>
      </c>
      <c r="B50" s="328" t="s">
        <v>104</v>
      </c>
      <c r="C50" s="327" t="s">
        <v>351</v>
      </c>
      <c r="D50" s="328" t="s">
        <v>338</v>
      </c>
      <c r="E50" s="328" t="s">
        <v>339</v>
      </c>
      <c r="F50" s="240"/>
      <c r="G50" s="240"/>
      <c r="H50" s="240"/>
      <c r="I50" s="283"/>
      <c r="J50" s="285"/>
      <c r="K50" s="284"/>
      <c r="L50" s="240"/>
      <c r="M50" s="240"/>
      <c r="N50" s="240"/>
      <c r="O50" s="240"/>
      <c r="P50" s="240"/>
      <c r="Q50" s="240"/>
      <c r="R50" s="240"/>
      <c r="S50" s="240"/>
      <c r="T50" s="283"/>
      <c r="U50" s="288"/>
      <c r="V50" s="284"/>
      <c r="W50" s="240"/>
      <c r="X50" s="240"/>
      <c r="Y50" s="290" t="s">
        <v>440</v>
      </c>
      <c r="Z50" s="327" t="s">
        <v>486</v>
      </c>
      <c r="AA50" s="240"/>
      <c r="AB50" s="4" t="s">
        <v>374</v>
      </c>
      <c r="AC50" s="240"/>
      <c r="AD50" s="4"/>
      <c r="AE50" s="240"/>
      <c r="AF50" s="4"/>
      <c r="AG50" s="240"/>
      <c r="AH50" s="240"/>
      <c r="AI50" s="240"/>
      <c r="AJ50" s="240"/>
      <c r="AK50" s="240"/>
      <c r="AL50" s="310"/>
      <c r="AM50" s="240"/>
      <c r="AN50" s="240"/>
      <c r="AO50" s="240"/>
      <c r="AP50" s="292" t="s">
        <v>440</v>
      </c>
      <c r="AQ50" s="302"/>
      <c r="AR50" s="537" t="s">
        <v>148</v>
      </c>
    </row>
    <row r="51" spans="1:44" ht="22.5" customHeight="1" x14ac:dyDescent="0.15">
      <c r="A51">
        <v>46</v>
      </c>
      <c r="B51" s="323" t="s">
        <v>104</v>
      </c>
      <c r="C51" s="324" t="s">
        <v>225</v>
      </c>
      <c r="D51" s="325" t="s">
        <v>35</v>
      </c>
      <c r="E51" s="326" t="s">
        <v>36</v>
      </c>
      <c r="F51" s="240">
        <v>1299875</v>
      </c>
      <c r="G51" s="240">
        <v>158975</v>
      </c>
      <c r="H51" s="240">
        <v>354719</v>
      </c>
      <c r="I51" s="283">
        <v>54665143</v>
      </c>
      <c r="J51" s="285">
        <v>0.2</v>
      </c>
      <c r="K51" s="284">
        <v>56478712</v>
      </c>
      <c r="L51" s="240"/>
      <c r="M51" s="240"/>
      <c r="N51" s="240"/>
      <c r="O51" s="240"/>
      <c r="P51" s="240"/>
      <c r="Q51" s="240"/>
      <c r="R51" s="240"/>
      <c r="S51" s="240"/>
      <c r="T51" s="283"/>
      <c r="U51" s="288"/>
      <c r="V51" s="284"/>
      <c r="W51" s="240">
        <v>56478712</v>
      </c>
      <c r="X51" s="240"/>
      <c r="Y51" s="290" t="s">
        <v>440</v>
      </c>
      <c r="Z51" s="293" t="s">
        <v>244</v>
      </c>
      <c r="AA51" s="240">
        <v>7363</v>
      </c>
      <c r="AB51" s="299"/>
      <c r="AC51" s="240"/>
      <c r="AD51" s="4"/>
      <c r="AE51" s="240"/>
      <c r="AF51" s="4"/>
      <c r="AG51" s="240"/>
      <c r="AH51" s="240">
        <v>7670</v>
      </c>
      <c r="AI51" s="240"/>
      <c r="AJ51" s="240"/>
      <c r="AK51" s="240"/>
      <c r="AL51" s="310">
        <v>0.4</v>
      </c>
      <c r="AM51" s="240">
        <v>154736</v>
      </c>
      <c r="AN51" s="240"/>
      <c r="AO51" s="240"/>
      <c r="AP51" s="292" t="s">
        <v>440</v>
      </c>
      <c r="AQ51" s="302">
        <v>2.2999999999999998</v>
      </c>
      <c r="AR51" s="537" t="s">
        <v>148</v>
      </c>
    </row>
    <row r="52" spans="1:44" ht="22.5" customHeight="1" x14ac:dyDescent="0.15">
      <c r="A52">
        <v>47</v>
      </c>
      <c r="B52" s="323" t="s">
        <v>104</v>
      </c>
      <c r="C52" s="324" t="s">
        <v>193</v>
      </c>
      <c r="D52" s="325" t="s">
        <v>35</v>
      </c>
      <c r="E52" s="326" t="s">
        <v>38</v>
      </c>
      <c r="F52" s="240"/>
      <c r="G52" s="240"/>
      <c r="H52" s="240"/>
      <c r="I52" s="283"/>
      <c r="J52" s="285"/>
      <c r="K52" s="284"/>
      <c r="L52" s="240">
        <v>612463444</v>
      </c>
      <c r="M52" s="240">
        <v>231872545</v>
      </c>
      <c r="N52" s="240"/>
      <c r="O52" s="240"/>
      <c r="P52" s="240">
        <v>612463444</v>
      </c>
      <c r="Q52" s="240"/>
      <c r="R52" s="240">
        <v>231872545</v>
      </c>
      <c r="S52" s="240">
        <v>222025368</v>
      </c>
      <c r="T52" s="283"/>
      <c r="U52" s="288">
        <v>66</v>
      </c>
      <c r="V52" s="284">
        <v>1066361357</v>
      </c>
      <c r="W52" s="240">
        <v>1066361357</v>
      </c>
      <c r="X52" s="240">
        <v>286366282</v>
      </c>
      <c r="Y52" s="290">
        <v>26.85</v>
      </c>
      <c r="Z52" s="5" t="s">
        <v>245</v>
      </c>
      <c r="AA52" s="240">
        <v>449</v>
      </c>
      <c r="AB52" s="4"/>
      <c r="AC52" s="240"/>
      <c r="AD52" s="4"/>
      <c r="AE52" s="240"/>
      <c r="AF52" s="4"/>
      <c r="AG52" s="240"/>
      <c r="AH52" s="240">
        <v>2374969</v>
      </c>
      <c r="AI52" s="240"/>
      <c r="AJ52" s="240"/>
      <c r="AK52" s="240"/>
      <c r="AL52" s="240">
        <v>8</v>
      </c>
      <c r="AM52" s="240">
        <v>2921537</v>
      </c>
      <c r="AN52" s="240">
        <v>16156990</v>
      </c>
      <c r="AO52" s="240"/>
      <c r="AP52" s="292" t="s">
        <v>440</v>
      </c>
      <c r="AQ52" s="302">
        <v>57.43</v>
      </c>
      <c r="AR52" s="537" t="s">
        <v>149</v>
      </c>
    </row>
    <row r="53" spans="1:44" ht="22.5" customHeight="1" x14ac:dyDescent="0.15">
      <c r="A53">
        <v>48</v>
      </c>
      <c r="B53" s="323" t="s">
        <v>104</v>
      </c>
      <c r="C53" s="324" t="s">
        <v>108</v>
      </c>
      <c r="D53" s="325" t="s">
        <v>35</v>
      </c>
      <c r="E53" s="326" t="s">
        <v>38</v>
      </c>
      <c r="F53" s="240">
        <v>12348812</v>
      </c>
      <c r="G53" s="240">
        <v>1043368</v>
      </c>
      <c r="H53" s="240">
        <v>2328056</v>
      </c>
      <c r="I53" s="283"/>
      <c r="J53" s="287">
        <v>1.9</v>
      </c>
      <c r="K53" s="284">
        <v>15720237</v>
      </c>
      <c r="L53" s="240">
        <v>560498544</v>
      </c>
      <c r="M53" s="240">
        <v>1041779319</v>
      </c>
      <c r="N53" s="240">
        <v>17905316</v>
      </c>
      <c r="O53" s="240">
        <v>15594879</v>
      </c>
      <c r="P53" s="240">
        <v>578403860</v>
      </c>
      <c r="Q53" s="240"/>
      <c r="R53" s="240">
        <v>1057374198</v>
      </c>
      <c r="S53" s="240"/>
      <c r="T53" s="283"/>
      <c r="U53" s="288">
        <v>80</v>
      </c>
      <c r="V53" s="284">
        <v>1635778059</v>
      </c>
      <c r="W53" s="240">
        <v>1651498296</v>
      </c>
      <c r="X53" s="240">
        <v>1075565718</v>
      </c>
      <c r="Y53" s="290">
        <v>65.13</v>
      </c>
      <c r="Z53" s="293" t="s">
        <v>246</v>
      </c>
      <c r="AA53" s="240">
        <v>1331</v>
      </c>
      <c r="AB53" s="4"/>
      <c r="AC53" s="240"/>
      <c r="AD53" s="4"/>
      <c r="AE53" s="240"/>
      <c r="AF53" s="4"/>
      <c r="AG53" s="240"/>
      <c r="AH53" s="240">
        <v>1240795</v>
      </c>
      <c r="AI53" s="240"/>
      <c r="AJ53" s="240"/>
      <c r="AK53" s="240"/>
      <c r="AL53" s="240">
        <v>12</v>
      </c>
      <c r="AM53" s="240">
        <v>4524652</v>
      </c>
      <c r="AN53" s="240">
        <v>20164814</v>
      </c>
      <c r="AO53" s="240"/>
      <c r="AP53" s="292" t="s">
        <v>440</v>
      </c>
      <c r="AQ53" s="302">
        <v>35.770000000000003</v>
      </c>
      <c r="AR53" s="537" t="s">
        <v>149</v>
      </c>
    </row>
    <row r="54" spans="1:44" ht="22.5" customHeight="1" x14ac:dyDescent="0.15">
      <c r="A54">
        <v>49</v>
      </c>
      <c r="B54" s="323" t="s">
        <v>104</v>
      </c>
      <c r="C54" s="324" t="s">
        <v>106</v>
      </c>
      <c r="D54" s="325" t="s">
        <v>87</v>
      </c>
      <c r="E54" s="326" t="s">
        <v>36</v>
      </c>
      <c r="F54" s="240">
        <v>13752677540</v>
      </c>
      <c r="G54" s="240">
        <v>521932829</v>
      </c>
      <c r="H54" s="240">
        <v>1764718154</v>
      </c>
      <c r="I54" s="283">
        <v>17002484306</v>
      </c>
      <c r="J54" s="285">
        <v>2116</v>
      </c>
      <c r="K54" s="284">
        <v>33041812830</v>
      </c>
      <c r="L54" s="240"/>
      <c r="M54" s="240"/>
      <c r="N54" s="240"/>
      <c r="O54" s="240"/>
      <c r="P54" s="240"/>
      <c r="Q54" s="240"/>
      <c r="R54" s="240"/>
      <c r="S54" s="240"/>
      <c r="T54" s="283"/>
      <c r="U54" s="288"/>
      <c r="V54" s="284"/>
      <c r="W54" s="240">
        <v>33041812830</v>
      </c>
      <c r="X54" s="240"/>
      <c r="Y54" s="290" t="s">
        <v>440</v>
      </c>
      <c r="Z54" s="293" t="s">
        <v>247</v>
      </c>
      <c r="AA54" s="240">
        <v>5513567</v>
      </c>
      <c r="AB54" s="4"/>
      <c r="AC54" s="240"/>
      <c r="AD54" s="4"/>
      <c r="AE54" s="240"/>
      <c r="AF54" s="4"/>
      <c r="AG54" s="240"/>
      <c r="AH54" s="240">
        <v>5992</v>
      </c>
      <c r="AI54" s="240"/>
      <c r="AJ54" s="240"/>
      <c r="AK54" s="240"/>
      <c r="AL54" s="240">
        <v>259</v>
      </c>
      <c r="AM54" s="240">
        <v>90525514</v>
      </c>
      <c r="AN54" s="240">
        <v>15615223</v>
      </c>
      <c r="AO54" s="240">
        <v>751938994522</v>
      </c>
      <c r="AP54" s="292">
        <v>4.3899999999999997</v>
      </c>
      <c r="AQ54" s="302">
        <v>41.62</v>
      </c>
      <c r="AR54" s="537" t="s">
        <v>150</v>
      </c>
    </row>
    <row r="55" spans="1:44" ht="22.5" customHeight="1" x14ac:dyDescent="0.15">
      <c r="A55">
        <v>50</v>
      </c>
      <c r="B55" s="323" t="s">
        <v>104</v>
      </c>
      <c r="C55" s="324" t="s">
        <v>107</v>
      </c>
      <c r="D55" s="325" t="s">
        <v>87</v>
      </c>
      <c r="E55" s="326" t="s">
        <v>36</v>
      </c>
      <c r="F55" s="240">
        <v>14932314106</v>
      </c>
      <c r="G55" s="240">
        <v>844240269</v>
      </c>
      <c r="H55" s="240">
        <v>1333600455</v>
      </c>
      <c r="I55" s="283">
        <v>34199292934</v>
      </c>
      <c r="J55" s="285">
        <v>2297.5</v>
      </c>
      <c r="K55" s="284">
        <v>51309447766</v>
      </c>
      <c r="L55" s="240"/>
      <c r="M55" s="240"/>
      <c r="N55" s="240"/>
      <c r="O55" s="240"/>
      <c r="P55" s="240"/>
      <c r="Q55" s="240"/>
      <c r="R55" s="240"/>
      <c r="S55" s="240"/>
      <c r="T55" s="283"/>
      <c r="U55" s="288"/>
      <c r="V55" s="284"/>
      <c r="W55" s="240">
        <v>51309447766</v>
      </c>
      <c r="X55" s="240"/>
      <c r="Y55" s="290" t="s">
        <v>440</v>
      </c>
      <c r="Z55" s="293" t="s">
        <v>248</v>
      </c>
      <c r="AA55" s="240">
        <v>40136.400999999998</v>
      </c>
      <c r="AB55" s="4"/>
      <c r="AC55" s="240"/>
      <c r="AD55" s="4"/>
      <c r="AE55" s="240"/>
      <c r="AF55" s="4"/>
      <c r="AG55" s="240"/>
      <c r="AH55" s="240">
        <v>1278</v>
      </c>
      <c r="AI55" s="240"/>
      <c r="AJ55" s="240"/>
      <c r="AK55" s="240"/>
      <c r="AL55" s="240">
        <v>403</v>
      </c>
      <c r="AM55" s="240">
        <v>140573829</v>
      </c>
      <c r="AN55" s="240">
        <v>22332730</v>
      </c>
      <c r="AO55" s="240">
        <v>1448412054835</v>
      </c>
      <c r="AP55" s="292">
        <v>3.54</v>
      </c>
      <c r="AQ55" s="302">
        <v>29.1</v>
      </c>
      <c r="AR55" s="537" t="s">
        <v>150</v>
      </c>
    </row>
    <row r="56" spans="1:44" ht="22.5" customHeight="1" x14ac:dyDescent="0.15">
      <c r="A56">
        <v>51</v>
      </c>
      <c r="B56" s="323" t="s">
        <v>104</v>
      </c>
      <c r="C56" s="324" t="s">
        <v>192</v>
      </c>
      <c r="D56" s="325" t="s">
        <v>87</v>
      </c>
      <c r="E56" s="326" t="s">
        <v>36</v>
      </c>
      <c r="F56" s="240">
        <v>19498125</v>
      </c>
      <c r="G56" s="240">
        <v>2680764</v>
      </c>
      <c r="H56" s="240">
        <v>5981558</v>
      </c>
      <c r="I56" s="283">
        <v>12349770</v>
      </c>
      <c r="J56" s="285">
        <v>3</v>
      </c>
      <c r="K56" s="284">
        <v>40510218</v>
      </c>
      <c r="L56" s="240"/>
      <c r="M56" s="240"/>
      <c r="N56" s="240"/>
      <c r="O56" s="240"/>
      <c r="P56" s="240"/>
      <c r="Q56" s="240"/>
      <c r="R56" s="240"/>
      <c r="S56" s="240"/>
      <c r="T56" s="283"/>
      <c r="U56" s="288"/>
      <c r="V56" s="284"/>
      <c r="W56" s="240">
        <v>40510218</v>
      </c>
      <c r="X56" s="240"/>
      <c r="Y56" s="290" t="s">
        <v>440</v>
      </c>
      <c r="Z56" s="297" t="s">
        <v>249</v>
      </c>
      <c r="AA56" s="240">
        <v>2721801</v>
      </c>
      <c r="AB56" s="4"/>
      <c r="AC56" s="240"/>
      <c r="AD56" s="4"/>
      <c r="AE56" s="240"/>
      <c r="AF56" s="4"/>
      <c r="AG56" s="240"/>
      <c r="AH56" s="240">
        <v>14</v>
      </c>
      <c r="AI56" s="240"/>
      <c r="AJ56" s="240"/>
      <c r="AK56" s="240"/>
      <c r="AL56" s="310">
        <v>0.3</v>
      </c>
      <c r="AM56" s="240">
        <v>110986</v>
      </c>
      <c r="AN56" s="240">
        <v>13503406</v>
      </c>
      <c r="AO56" s="240">
        <v>110762489240</v>
      </c>
      <c r="AP56" s="292">
        <v>0.04</v>
      </c>
      <c r="AQ56" s="302">
        <v>48.13</v>
      </c>
      <c r="AR56" s="537" t="s">
        <v>150</v>
      </c>
    </row>
    <row r="57" spans="1:44" ht="22.5" customHeight="1" x14ac:dyDescent="0.15">
      <c r="A57">
        <v>52</v>
      </c>
      <c r="B57" s="323" t="s">
        <v>109</v>
      </c>
      <c r="C57" s="324" t="s">
        <v>194</v>
      </c>
      <c r="D57" s="325" t="s">
        <v>35</v>
      </c>
      <c r="E57" s="326" t="s">
        <v>36</v>
      </c>
      <c r="F57" s="240">
        <v>5826039767</v>
      </c>
      <c r="G57" s="240">
        <v>2441912999</v>
      </c>
      <c r="H57" s="240">
        <v>54803557</v>
      </c>
      <c r="I57" s="283">
        <v>1000483925</v>
      </c>
      <c r="J57" s="285">
        <v>896.4</v>
      </c>
      <c r="K57" s="284">
        <v>9323240248</v>
      </c>
      <c r="L57" s="240"/>
      <c r="M57" s="240"/>
      <c r="N57" s="240"/>
      <c r="O57" s="240"/>
      <c r="P57" s="240"/>
      <c r="Q57" s="240"/>
      <c r="R57" s="240"/>
      <c r="S57" s="240"/>
      <c r="T57" s="283"/>
      <c r="U57" s="288"/>
      <c r="V57" s="284"/>
      <c r="W57" s="240">
        <v>9323240248</v>
      </c>
      <c r="X57" s="240"/>
      <c r="Y57" s="290" t="s">
        <v>440</v>
      </c>
      <c r="Z57" s="301" t="s">
        <v>511</v>
      </c>
      <c r="AA57" s="240">
        <v>1122936</v>
      </c>
      <c r="AB57" s="300"/>
      <c r="AC57" s="240"/>
      <c r="AD57" s="4"/>
      <c r="AE57" s="240"/>
      <c r="AF57" s="4"/>
      <c r="AG57" s="240"/>
      <c r="AH57" s="240">
        <v>8302</v>
      </c>
      <c r="AI57" s="240"/>
      <c r="AJ57" s="240"/>
      <c r="AK57" s="240"/>
      <c r="AL57" s="545">
        <v>73</v>
      </c>
      <c r="AM57" s="240">
        <v>25543123</v>
      </c>
      <c r="AN57" s="240">
        <v>10400758</v>
      </c>
      <c r="AO57" s="240"/>
      <c r="AP57" s="292" t="s">
        <v>440</v>
      </c>
      <c r="AQ57" s="302">
        <v>62.49</v>
      </c>
      <c r="AR57" s="537" t="s">
        <v>148</v>
      </c>
    </row>
    <row r="58" spans="1:44" ht="22.5" customHeight="1" x14ac:dyDescent="0.15">
      <c r="A58">
        <v>53</v>
      </c>
      <c r="B58" s="323" t="s">
        <v>109</v>
      </c>
      <c r="C58" s="324" t="s">
        <v>195</v>
      </c>
      <c r="D58" s="325" t="s">
        <v>35</v>
      </c>
      <c r="E58" s="326" t="s">
        <v>36</v>
      </c>
      <c r="F58" s="240">
        <v>1750931630</v>
      </c>
      <c r="G58" s="240">
        <v>733881483</v>
      </c>
      <c r="H58" s="240">
        <v>16470413</v>
      </c>
      <c r="I58" s="283">
        <v>494725234</v>
      </c>
      <c r="J58" s="285">
        <v>269.39999999999998</v>
      </c>
      <c r="K58" s="284">
        <v>2996008760</v>
      </c>
      <c r="L58" s="240"/>
      <c r="M58" s="240"/>
      <c r="N58" s="240"/>
      <c r="O58" s="240"/>
      <c r="P58" s="240"/>
      <c r="Q58" s="240"/>
      <c r="R58" s="240"/>
      <c r="S58" s="240"/>
      <c r="T58" s="283"/>
      <c r="U58" s="288"/>
      <c r="V58" s="284"/>
      <c r="W58" s="240">
        <v>2996008760</v>
      </c>
      <c r="X58" s="240"/>
      <c r="Y58" s="290" t="s">
        <v>440</v>
      </c>
      <c r="Z58" s="301" t="s">
        <v>250</v>
      </c>
      <c r="AA58" s="240">
        <v>526818</v>
      </c>
      <c r="AB58" s="4"/>
      <c r="AC58" s="240"/>
      <c r="AD58" s="4"/>
      <c r="AE58" s="240"/>
      <c r="AF58" s="4"/>
      <c r="AG58" s="240"/>
      <c r="AH58" s="240">
        <v>5686</v>
      </c>
      <c r="AI58" s="240"/>
      <c r="AJ58" s="240"/>
      <c r="AK58" s="240"/>
      <c r="AL58" s="240">
        <v>23</v>
      </c>
      <c r="AM58" s="240">
        <v>8208243</v>
      </c>
      <c r="AN58" s="240">
        <v>11121042</v>
      </c>
      <c r="AO58" s="240"/>
      <c r="AP58" s="292" t="s">
        <v>440</v>
      </c>
      <c r="AQ58" s="302">
        <v>58.44</v>
      </c>
      <c r="AR58" s="537" t="s">
        <v>148</v>
      </c>
    </row>
    <row r="59" spans="1:44" ht="22.5" customHeight="1" x14ac:dyDescent="0.15">
      <c r="A59">
        <v>54</v>
      </c>
      <c r="B59" s="328" t="s">
        <v>109</v>
      </c>
      <c r="C59" s="327" t="s">
        <v>350</v>
      </c>
      <c r="D59" s="328" t="s">
        <v>338</v>
      </c>
      <c r="E59" s="328" t="s">
        <v>339</v>
      </c>
      <c r="F59" s="240"/>
      <c r="G59" s="240"/>
      <c r="H59" s="240"/>
      <c r="I59" s="283"/>
      <c r="J59" s="285"/>
      <c r="K59" s="284"/>
      <c r="L59" s="240"/>
      <c r="M59" s="240"/>
      <c r="N59" s="240"/>
      <c r="O59" s="240"/>
      <c r="P59" s="240"/>
      <c r="Q59" s="240"/>
      <c r="R59" s="240"/>
      <c r="S59" s="240"/>
      <c r="T59" s="283"/>
      <c r="U59" s="295"/>
      <c r="V59" s="284"/>
      <c r="W59" s="240"/>
      <c r="X59" s="240"/>
      <c r="Y59" s="290" t="s">
        <v>440</v>
      </c>
      <c r="Z59" s="301" t="s">
        <v>513</v>
      </c>
      <c r="AA59" s="240"/>
      <c r="AB59" s="4"/>
      <c r="AC59" s="240"/>
      <c r="AD59" s="4"/>
      <c r="AE59" s="240"/>
      <c r="AF59" s="4"/>
      <c r="AG59" s="240"/>
      <c r="AH59" s="240"/>
      <c r="AI59" s="240"/>
      <c r="AJ59" s="240"/>
      <c r="AK59" s="240"/>
      <c r="AL59" s="240"/>
      <c r="AM59" s="240"/>
      <c r="AN59" s="240"/>
      <c r="AO59" s="240"/>
      <c r="AP59" s="292" t="s">
        <v>440</v>
      </c>
      <c r="AQ59" s="302"/>
      <c r="AR59" s="537" t="s">
        <v>148</v>
      </c>
    </row>
    <row r="60" spans="1:44" ht="22.5" customHeight="1" x14ac:dyDescent="0.15">
      <c r="A60">
        <v>55</v>
      </c>
      <c r="B60" s="328" t="s">
        <v>109</v>
      </c>
      <c r="C60" s="327" t="s">
        <v>349</v>
      </c>
      <c r="D60" s="328" t="s">
        <v>338</v>
      </c>
      <c r="E60" s="328" t="s">
        <v>339</v>
      </c>
      <c r="F60" s="240"/>
      <c r="G60" s="240"/>
      <c r="H60" s="240"/>
      <c r="I60" s="283"/>
      <c r="J60" s="285"/>
      <c r="K60" s="284"/>
      <c r="L60" s="240"/>
      <c r="M60" s="240"/>
      <c r="N60" s="240"/>
      <c r="O60" s="240"/>
      <c r="P60" s="240"/>
      <c r="Q60" s="240"/>
      <c r="R60" s="240"/>
      <c r="S60" s="240"/>
      <c r="T60" s="283"/>
      <c r="U60" s="288"/>
      <c r="V60" s="284"/>
      <c r="W60" s="240"/>
      <c r="X60" s="240"/>
      <c r="Y60" s="290" t="s">
        <v>440</v>
      </c>
      <c r="Z60" s="495" t="s">
        <v>450</v>
      </c>
      <c r="AA60" s="240"/>
      <c r="AB60" s="4"/>
      <c r="AC60" s="240"/>
      <c r="AD60" s="4"/>
      <c r="AE60" s="240"/>
      <c r="AF60" s="4"/>
      <c r="AG60" s="240"/>
      <c r="AH60" s="240"/>
      <c r="AI60" s="240"/>
      <c r="AJ60" s="240"/>
      <c r="AK60" s="240"/>
      <c r="AL60" s="240"/>
      <c r="AM60" s="240"/>
      <c r="AN60" s="240"/>
      <c r="AO60" s="240"/>
      <c r="AP60" s="292" t="s">
        <v>440</v>
      </c>
      <c r="AQ60" s="302"/>
      <c r="AR60" s="537" t="s">
        <v>148</v>
      </c>
    </row>
    <row r="61" spans="1:44" ht="22.5" customHeight="1" x14ac:dyDescent="0.15">
      <c r="A61">
        <v>56</v>
      </c>
      <c r="B61" s="328" t="s">
        <v>109</v>
      </c>
      <c r="C61" s="327" t="s">
        <v>437</v>
      </c>
      <c r="D61" s="328" t="s">
        <v>338</v>
      </c>
      <c r="E61" s="328" t="s">
        <v>345</v>
      </c>
      <c r="F61" s="240">
        <v>7799250</v>
      </c>
      <c r="G61" s="240">
        <v>1795945</v>
      </c>
      <c r="H61" s="240">
        <v>81460</v>
      </c>
      <c r="I61" s="283"/>
      <c r="J61" s="285">
        <v>1.2</v>
      </c>
      <c r="K61" s="284">
        <v>9676656</v>
      </c>
      <c r="L61" s="240">
        <v>348891496</v>
      </c>
      <c r="M61" s="240">
        <v>834529903</v>
      </c>
      <c r="N61" s="240">
        <v>26072552</v>
      </c>
      <c r="O61" s="240">
        <v>15653957</v>
      </c>
      <c r="P61" s="240">
        <v>374964048</v>
      </c>
      <c r="Q61" s="240">
        <v>968358</v>
      </c>
      <c r="R61" s="240">
        <v>850183860</v>
      </c>
      <c r="S61" s="240">
        <v>11528453</v>
      </c>
      <c r="T61" s="283">
        <v>52975</v>
      </c>
      <c r="U61" s="288">
        <v>40.299999999999997</v>
      </c>
      <c r="V61" s="284">
        <v>1237697696</v>
      </c>
      <c r="W61" s="240">
        <v>1247374352</v>
      </c>
      <c r="X61" s="240">
        <v>119098121</v>
      </c>
      <c r="Y61" s="290">
        <v>9.5500000000000007</v>
      </c>
      <c r="Z61" s="495" t="s">
        <v>465</v>
      </c>
      <c r="AA61" s="240">
        <v>52133</v>
      </c>
      <c r="AB61" s="500" t="s">
        <v>466</v>
      </c>
      <c r="AC61" s="240">
        <v>2418</v>
      </c>
      <c r="AD61" s="4" t="s">
        <v>467</v>
      </c>
      <c r="AE61" s="240">
        <v>16590</v>
      </c>
      <c r="AF61" s="4" t="s">
        <v>440</v>
      </c>
      <c r="AG61" s="240"/>
      <c r="AH61" s="240">
        <v>23926</v>
      </c>
      <c r="AI61" s="240">
        <v>515870</v>
      </c>
      <c r="AJ61" s="240">
        <v>75188</v>
      </c>
      <c r="AK61" s="240" t="s">
        <v>440</v>
      </c>
      <c r="AL61" s="240">
        <v>9</v>
      </c>
      <c r="AM61" s="240">
        <v>3417463</v>
      </c>
      <c r="AN61" s="240">
        <v>30057213</v>
      </c>
      <c r="AO61" s="240"/>
      <c r="AP61" s="292"/>
      <c r="AQ61" s="302">
        <v>30.76</v>
      </c>
      <c r="AR61" s="537" t="s">
        <v>149</v>
      </c>
    </row>
    <row r="62" spans="1:44" ht="22.5" customHeight="1" x14ac:dyDescent="0.15">
      <c r="A62">
        <v>57</v>
      </c>
      <c r="B62" s="328" t="s">
        <v>109</v>
      </c>
      <c r="C62" s="327" t="s">
        <v>442</v>
      </c>
      <c r="D62" s="328" t="s">
        <v>338</v>
      </c>
      <c r="E62" s="328" t="s">
        <v>345</v>
      </c>
      <c r="F62" s="240"/>
      <c r="G62" s="240"/>
      <c r="H62" s="240"/>
      <c r="I62" s="283"/>
      <c r="J62" s="285"/>
      <c r="K62" s="284"/>
      <c r="L62" s="240"/>
      <c r="M62" s="240"/>
      <c r="N62" s="240"/>
      <c r="O62" s="240"/>
      <c r="P62" s="240"/>
      <c r="Q62" s="240"/>
      <c r="R62" s="240"/>
      <c r="S62" s="240"/>
      <c r="T62" s="283"/>
      <c r="U62" s="285"/>
      <c r="V62" s="284"/>
      <c r="W62" s="240"/>
      <c r="X62" s="240"/>
      <c r="Y62" s="290" t="s">
        <v>440</v>
      </c>
      <c r="Z62" s="495" t="s">
        <v>369</v>
      </c>
      <c r="AA62" s="240"/>
      <c r="AB62" s="4"/>
      <c r="AC62" s="240"/>
      <c r="AD62" s="4"/>
      <c r="AE62" s="240"/>
      <c r="AF62" s="4"/>
      <c r="AG62" s="240"/>
      <c r="AH62" s="312"/>
      <c r="AI62" s="240"/>
      <c r="AJ62" s="241"/>
      <c r="AK62" s="241"/>
      <c r="AL62" s="313"/>
      <c r="AM62" s="240"/>
      <c r="AN62" s="240"/>
      <c r="AO62" s="241"/>
      <c r="AP62" s="292" t="s">
        <v>440</v>
      </c>
      <c r="AQ62" s="302"/>
      <c r="AR62" s="537" t="s">
        <v>149</v>
      </c>
    </row>
    <row r="63" spans="1:44" ht="22.5" customHeight="1" x14ac:dyDescent="0.15">
      <c r="A63">
        <v>58</v>
      </c>
      <c r="B63" s="328" t="s">
        <v>109</v>
      </c>
      <c r="C63" s="327" t="s">
        <v>380</v>
      </c>
      <c r="D63" s="328" t="s">
        <v>346</v>
      </c>
      <c r="E63" s="328" t="s">
        <v>339</v>
      </c>
      <c r="F63" s="240"/>
      <c r="G63" s="240"/>
      <c r="H63" s="240"/>
      <c r="I63" s="283"/>
      <c r="J63" s="285"/>
      <c r="K63" s="284"/>
      <c r="L63" s="240"/>
      <c r="M63" s="240"/>
      <c r="N63" s="240"/>
      <c r="O63" s="240"/>
      <c r="P63" s="240"/>
      <c r="Q63" s="240"/>
      <c r="R63" s="240"/>
      <c r="S63" s="240"/>
      <c r="T63" s="283"/>
      <c r="U63" s="288"/>
      <c r="V63" s="284"/>
      <c r="W63" s="240"/>
      <c r="X63" s="240"/>
      <c r="Y63" s="290" t="s">
        <v>440</v>
      </c>
      <c r="Z63" s="5" t="s">
        <v>370</v>
      </c>
      <c r="AA63" s="240"/>
      <c r="AB63" s="299"/>
      <c r="AC63" s="240"/>
      <c r="AD63" s="4"/>
      <c r="AE63" s="240"/>
      <c r="AF63" s="4"/>
      <c r="AG63" s="240"/>
      <c r="AH63" s="240"/>
      <c r="AI63" s="240"/>
      <c r="AJ63" s="241"/>
      <c r="AK63" s="241"/>
      <c r="AL63" s="241"/>
      <c r="AM63" s="240"/>
      <c r="AN63" s="240"/>
      <c r="AO63" s="241"/>
      <c r="AP63" s="292" t="s">
        <v>440</v>
      </c>
      <c r="AQ63" s="302"/>
      <c r="AR63" s="537" t="s">
        <v>150</v>
      </c>
    </row>
    <row r="64" spans="1:44" ht="22.5" customHeight="1" x14ac:dyDescent="0.15">
      <c r="A64">
        <v>59</v>
      </c>
      <c r="B64" s="328" t="s">
        <v>110</v>
      </c>
      <c r="C64" s="327" t="s">
        <v>475</v>
      </c>
      <c r="D64" s="328" t="s">
        <v>338</v>
      </c>
      <c r="E64" s="328" t="s">
        <v>339</v>
      </c>
      <c r="F64" s="240"/>
      <c r="G64" s="240"/>
      <c r="H64" s="240"/>
      <c r="I64" s="283"/>
      <c r="J64" s="285"/>
      <c r="K64" s="284"/>
      <c r="L64" s="240"/>
      <c r="M64" s="240"/>
      <c r="N64" s="240"/>
      <c r="O64" s="240"/>
      <c r="P64" s="240"/>
      <c r="Q64" s="240"/>
      <c r="R64" s="240"/>
      <c r="S64" s="240"/>
      <c r="T64" s="283"/>
      <c r="U64" s="288"/>
      <c r="V64" s="284"/>
      <c r="W64" s="240"/>
      <c r="X64" s="240"/>
      <c r="Y64" s="290" t="s">
        <v>440</v>
      </c>
      <c r="Z64" s="495" t="s">
        <v>359</v>
      </c>
      <c r="AA64" s="240"/>
      <c r="AB64" s="4"/>
      <c r="AC64" s="240"/>
      <c r="AD64" s="4"/>
      <c r="AE64" s="240"/>
      <c r="AF64" s="4"/>
      <c r="AG64" s="240"/>
      <c r="AH64" s="240"/>
      <c r="AI64" s="240"/>
      <c r="AJ64" s="241"/>
      <c r="AK64" s="241"/>
      <c r="AL64" s="313"/>
      <c r="AM64" s="241"/>
      <c r="AN64" s="241"/>
      <c r="AO64" s="241"/>
      <c r="AP64" s="292" t="s">
        <v>440</v>
      </c>
      <c r="AQ64" s="302"/>
      <c r="AR64" s="537" t="s">
        <v>148</v>
      </c>
    </row>
    <row r="65" spans="1:44" ht="22.5" customHeight="1" x14ac:dyDescent="0.15">
      <c r="A65">
        <v>60</v>
      </c>
      <c r="B65" s="323" t="s">
        <v>110</v>
      </c>
      <c r="C65" s="324" t="s">
        <v>111</v>
      </c>
      <c r="D65" s="325" t="s">
        <v>35</v>
      </c>
      <c r="E65" s="326" t="s">
        <v>36</v>
      </c>
      <c r="F65" s="240">
        <v>27297375</v>
      </c>
      <c r="G65" s="240">
        <v>6545314</v>
      </c>
      <c r="H65" s="240">
        <v>1082164</v>
      </c>
      <c r="I65" s="283">
        <v>65466878</v>
      </c>
      <c r="J65" s="285">
        <v>4.2</v>
      </c>
      <c r="K65" s="284">
        <v>100391732</v>
      </c>
      <c r="L65" s="240"/>
      <c r="M65" s="240"/>
      <c r="N65" s="240"/>
      <c r="O65" s="240"/>
      <c r="P65" s="240"/>
      <c r="Q65" s="240"/>
      <c r="R65" s="240"/>
      <c r="S65" s="240"/>
      <c r="T65" s="283"/>
      <c r="U65" s="288"/>
      <c r="V65" s="284"/>
      <c r="W65" s="240">
        <v>100391732</v>
      </c>
      <c r="X65" s="240">
        <v>74592000</v>
      </c>
      <c r="Y65" s="290">
        <v>74.3</v>
      </c>
      <c r="Z65" s="5" t="s">
        <v>251</v>
      </c>
      <c r="AA65" s="240">
        <v>6216</v>
      </c>
      <c r="AB65" s="299"/>
      <c r="AC65" s="240"/>
      <c r="AD65" s="4"/>
      <c r="AE65" s="240"/>
      <c r="AF65" s="4"/>
      <c r="AG65" s="240"/>
      <c r="AH65" s="240">
        <v>16150</v>
      </c>
      <c r="AI65" s="240"/>
      <c r="AJ65" s="241"/>
      <c r="AK65" s="241"/>
      <c r="AL65" s="313">
        <v>0.7</v>
      </c>
      <c r="AM65" s="241">
        <v>275045</v>
      </c>
      <c r="AN65" s="241">
        <v>23902793</v>
      </c>
      <c r="AO65" s="241"/>
      <c r="AP65" s="292" t="s">
        <v>440</v>
      </c>
      <c r="AQ65" s="302">
        <v>27.19</v>
      </c>
      <c r="AR65" s="537" t="s">
        <v>148</v>
      </c>
    </row>
    <row r="66" spans="1:44" ht="22.5" customHeight="1" x14ac:dyDescent="0.15">
      <c r="A66">
        <v>61</v>
      </c>
      <c r="B66" s="328" t="s">
        <v>110</v>
      </c>
      <c r="C66" s="327" t="s">
        <v>463</v>
      </c>
      <c r="D66" s="328" t="s">
        <v>346</v>
      </c>
      <c r="E66" s="328" t="s">
        <v>345</v>
      </c>
      <c r="F66" s="240"/>
      <c r="G66" s="240"/>
      <c r="H66" s="240"/>
      <c r="I66" s="283"/>
      <c r="J66" s="285"/>
      <c r="K66" s="284"/>
      <c r="L66" s="240"/>
      <c r="M66" s="240"/>
      <c r="N66" s="240"/>
      <c r="O66" s="240"/>
      <c r="P66" s="240"/>
      <c r="Q66" s="240"/>
      <c r="R66" s="240"/>
      <c r="S66" s="240"/>
      <c r="T66" s="283"/>
      <c r="U66" s="288"/>
      <c r="V66" s="284"/>
      <c r="W66" s="240"/>
      <c r="X66" s="240"/>
      <c r="Y66" s="290" t="s">
        <v>440</v>
      </c>
      <c r="Z66" s="495" t="s">
        <v>254</v>
      </c>
      <c r="AA66" s="240"/>
      <c r="AB66" s="4"/>
      <c r="AC66" s="240"/>
      <c r="AD66" s="4"/>
      <c r="AE66" s="240"/>
      <c r="AF66" s="4"/>
      <c r="AG66" s="240"/>
      <c r="AH66" s="240"/>
      <c r="AI66" s="240"/>
      <c r="AJ66" s="241"/>
      <c r="AK66" s="241"/>
      <c r="AL66" s="241"/>
      <c r="AM66" s="240"/>
      <c r="AN66" s="240"/>
      <c r="AO66" s="241"/>
      <c r="AP66" s="292" t="s">
        <v>440</v>
      </c>
      <c r="AQ66" s="302"/>
      <c r="AR66" s="537" t="s">
        <v>151</v>
      </c>
    </row>
    <row r="67" spans="1:44" ht="22.5" customHeight="1" x14ac:dyDescent="0.15">
      <c r="A67">
        <v>62</v>
      </c>
      <c r="B67" s="328" t="s">
        <v>110</v>
      </c>
      <c r="C67" s="327" t="s">
        <v>347</v>
      </c>
      <c r="D67" s="328" t="s">
        <v>346</v>
      </c>
      <c r="E67" s="328" t="s">
        <v>345</v>
      </c>
      <c r="F67" s="240"/>
      <c r="G67" s="240"/>
      <c r="H67" s="240"/>
      <c r="I67" s="283"/>
      <c r="J67" s="285"/>
      <c r="K67" s="284"/>
      <c r="L67" s="240"/>
      <c r="M67" s="240"/>
      <c r="N67" s="240"/>
      <c r="O67" s="240"/>
      <c r="P67" s="240"/>
      <c r="Q67" s="240"/>
      <c r="R67" s="240"/>
      <c r="S67" s="240"/>
      <c r="T67" s="283"/>
      <c r="U67" s="288"/>
      <c r="V67" s="284"/>
      <c r="W67" s="240"/>
      <c r="X67" s="240"/>
      <c r="Y67" s="290" t="s">
        <v>440</v>
      </c>
      <c r="Z67" s="5" t="s">
        <v>254</v>
      </c>
      <c r="AA67" s="240"/>
      <c r="AB67" s="4"/>
      <c r="AC67" s="240"/>
      <c r="AD67" s="4"/>
      <c r="AE67" s="240"/>
      <c r="AF67" s="4"/>
      <c r="AG67" s="240"/>
      <c r="AH67" s="240"/>
      <c r="AI67" s="240"/>
      <c r="AJ67" s="241"/>
      <c r="AK67" s="241"/>
      <c r="AL67" s="314"/>
      <c r="AM67" s="240"/>
      <c r="AN67" s="240"/>
      <c r="AO67" s="241"/>
      <c r="AP67" s="292" t="s">
        <v>440</v>
      </c>
      <c r="AQ67" s="302"/>
      <c r="AR67" s="537" t="s">
        <v>151</v>
      </c>
    </row>
    <row r="68" spans="1:44" ht="22.5" customHeight="1" x14ac:dyDescent="0.15">
      <c r="A68">
        <v>63</v>
      </c>
      <c r="B68" s="323" t="s">
        <v>110</v>
      </c>
      <c r="C68" s="324" t="s">
        <v>196</v>
      </c>
      <c r="D68" s="325" t="s">
        <v>87</v>
      </c>
      <c r="E68" s="326" t="s">
        <v>38</v>
      </c>
      <c r="F68" s="240"/>
      <c r="G68" s="240"/>
      <c r="H68" s="240"/>
      <c r="I68" s="283"/>
      <c r="J68" s="285"/>
      <c r="K68" s="284"/>
      <c r="L68" s="240">
        <v>20624521</v>
      </c>
      <c r="M68" s="240">
        <v>13325907</v>
      </c>
      <c r="N68" s="240">
        <v>12368050</v>
      </c>
      <c r="O68" s="240">
        <v>6714588</v>
      </c>
      <c r="P68" s="240">
        <v>32992571</v>
      </c>
      <c r="Q68" s="240"/>
      <c r="R68" s="240">
        <v>20040495</v>
      </c>
      <c r="S68" s="240"/>
      <c r="T68" s="283"/>
      <c r="U68" s="288">
        <v>83.7</v>
      </c>
      <c r="V68" s="284">
        <v>53033067</v>
      </c>
      <c r="W68" s="240">
        <v>53033067</v>
      </c>
      <c r="X68" s="240"/>
      <c r="Y68" s="290" t="s">
        <v>440</v>
      </c>
      <c r="Z68" s="309" t="s">
        <v>252</v>
      </c>
      <c r="AA68" s="240"/>
      <c r="AB68" s="500" t="s">
        <v>253</v>
      </c>
      <c r="AC68" s="240"/>
      <c r="AD68" s="4"/>
      <c r="AE68" s="240"/>
      <c r="AF68" s="4"/>
      <c r="AG68" s="240"/>
      <c r="AH68" s="240"/>
      <c r="AI68" s="240"/>
      <c r="AJ68" s="241"/>
      <c r="AK68" s="241"/>
      <c r="AL68" s="313">
        <v>0.4</v>
      </c>
      <c r="AM68" s="241">
        <v>145296</v>
      </c>
      <c r="AN68" s="241">
        <v>633262</v>
      </c>
      <c r="AO68" s="240"/>
      <c r="AP68" s="292" t="s">
        <v>440</v>
      </c>
      <c r="AQ68" s="302">
        <v>62.21</v>
      </c>
      <c r="AR68" s="541" t="s">
        <v>151</v>
      </c>
    </row>
    <row r="69" spans="1:44" ht="22.5" customHeight="1" x14ac:dyDescent="0.15">
      <c r="A69">
        <v>64</v>
      </c>
      <c r="B69" s="328" t="s">
        <v>110</v>
      </c>
      <c r="C69" s="327" t="s">
        <v>348</v>
      </c>
      <c r="D69" s="328" t="s">
        <v>346</v>
      </c>
      <c r="E69" s="328" t="s">
        <v>345</v>
      </c>
      <c r="F69" s="240"/>
      <c r="G69" s="240"/>
      <c r="H69" s="240"/>
      <c r="I69" s="283"/>
      <c r="J69" s="285"/>
      <c r="K69" s="284"/>
      <c r="L69" s="240"/>
      <c r="M69" s="240"/>
      <c r="N69" s="240"/>
      <c r="O69" s="240"/>
      <c r="P69" s="240"/>
      <c r="Q69" s="240"/>
      <c r="R69" s="240"/>
      <c r="S69" s="240"/>
      <c r="T69" s="283"/>
      <c r="U69" s="288"/>
      <c r="V69" s="284"/>
      <c r="W69" s="240"/>
      <c r="X69" s="240"/>
      <c r="Y69" s="290" t="s">
        <v>440</v>
      </c>
      <c r="Z69" s="5" t="s">
        <v>254</v>
      </c>
      <c r="AA69" s="240"/>
      <c r="AB69" s="500" t="s">
        <v>383</v>
      </c>
      <c r="AC69" s="240"/>
      <c r="AD69" s="4"/>
      <c r="AE69" s="240"/>
      <c r="AF69" s="4"/>
      <c r="AG69" s="240"/>
      <c r="AH69" s="240"/>
      <c r="AI69" s="240"/>
      <c r="AJ69" s="241"/>
      <c r="AK69" s="241"/>
      <c r="AL69" s="241"/>
      <c r="AM69" s="241"/>
      <c r="AN69" s="241"/>
      <c r="AO69" s="240"/>
      <c r="AP69" s="292" t="s">
        <v>440</v>
      </c>
      <c r="AQ69" s="302"/>
      <c r="AR69" s="541" t="s">
        <v>151</v>
      </c>
    </row>
    <row r="70" spans="1:44" ht="22.5" customHeight="1" x14ac:dyDescent="0.15">
      <c r="A70">
        <v>65</v>
      </c>
      <c r="B70" s="323" t="s">
        <v>110</v>
      </c>
      <c r="C70" s="324" t="s">
        <v>226</v>
      </c>
      <c r="D70" s="323" t="s">
        <v>87</v>
      </c>
      <c r="E70" s="330" t="s">
        <v>38</v>
      </c>
      <c r="F70" s="240">
        <v>11048937</v>
      </c>
      <c r="G70" s="240">
        <v>10333512</v>
      </c>
      <c r="H70" s="240">
        <v>200169855</v>
      </c>
      <c r="I70" s="283"/>
      <c r="J70" s="285">
        <v>1.7</v>
      </c>
      <c r="K70" s="284">
        <v>221552305</v>
      </c>
      <c r="L70" s="240">
        <v>217218132</v>
      </c>
      <c r="M70" s="240">
        <v>136933341</v>
      </c>
      <c r="N70" s="240">
        <v>6972259</v>
      </c>
      <c r="O70" s="240">
        <v>18939373</v>
      </c>
      <c r="P70" s="240">
        <v>224190391</v>
      </c>
      <c r="Q70" s="240"/>
      <c r="R70" s="240">
        <v>155872714</v>
      </c>
      <c r="S70" s="240"/>
      <c r="T70" s="283"/>
      <c r="U70" s="288">
        <v>56</v>
      </c>
      <c r="V70" s="284">
        <v>380063106</v>
      </c>
      <c r="W70" s="240">
        <v>601615411</v>
      </c>
      <c r="X70" s="240"/>
      <c r="Y70" s="290" t="s">
        <v>440</v>
      </c>
      <c r="Z70" s="5" t="s">
        <v>254</v>
      </c>
      <c r="AA70" s="240">
        <v>41230</v>
      </c>
      <c r="AB70" s="4"/>
      <c r="AC70" s="240"/>
      <c r="AD70" s="4"/>
      <c r="AE70" s="240"/>
      <c r="AF70" s="4"/>
      <c r="AG70" s="240"/>
      <c r="AH70" s="240">
        <v>14591</v>
      </c>
      <c r="AI70" s="240"/>
      <c r="AJ70" s="241"/>
      <c r="AK70" s="241"/>
      <c r="AL70" s="313">
        <v>4</v>
      </c>
      <c r="AM70" s="241">
        <v>1648261</v>
      </c>
      <c r="AN70" s="241">
        <v>10426610</v>
      </c>
      <c r="AO70" s="240">
        <v>13902000000</v>
      </c>
      <c r="AP70" s="292">
        <v>4.33</v>
      </c>
      <c r="AQ70" s="302">
        <v>39.1</v>
      </c>
      <c r="AR70" s="541" t="s">
        <v>151</v>
      </c>
    </row>
    <row r="71" spans="1:44" ht="22.5" customHeight="1" x14ac:dyDescent="0.15">
      <c r="A71">
        <v>66</v>
      </c>
      <c r="B71" s="328" t="s">
        <v>112</v>
      </c>
      <c r="C71" s="327" t="s">
        <v>343</v>
      </c>
      <c r="D71" s="328" t="s">
        <v>338</v>
      </c>
      <c r="E71" s="328" t="s">
        <v>339</v>
      </c>
      <c r="F71" s="240">
        <v>531778864</v>
      </c>
      <c r="G71" s="240">
        <v>206404455</v>
      </c>
      <c r="H71" s="240"/>
      <c r="I71" s="283">
        <v>12605691135</v>
      </c>
      <c r="J71" s="285">
        <v>81.8</v>
      </c>
      <c r="K71" s="284">
        <v>13343874454</v>
      </c>
      <c r="L71" s="240"/>
      <c r="M71" s="240"/>
      <c r="N71" s="240"/>
      <c r="O71" s="240"/>
      <c r="P71" s="240"/>
      <c r="Q71" s="240"/>
      <c r="R71" s="240"/>
      <c r="S71" s="240"/>
      <c r="T71" s="283"/>
      <c r="U71" s="288"/>
      <c r="V71" s="284"/>
      <c r="W71" s="240">
        <v>13343874454</v>
      </c>
      <c r="X71" s="240"/>
      <c r="Y71" s="290"/>
      <c r="Z71" s="5" t="s">
        <v>373</v>
      </c>
      <c r="AA71" s="240">
        <v>31264621</v>
      </c>
      <c r="AB71" s="327" t="s">
        <v>476</v>
      </c>
      <c r="AC71" s="240">
        <v>3813</v>
      </c>
      <c r="AD71" s="4"/>
      <c r="AE71" s="240"/>
      <c r="AF71" s="4"/>
      <c r="AG71" s="240"/>
      <c r="AH71" s="240">
        <v>426</v>
      </c>
      <c r="AI71" s="240">
        <v>3499573</v>
      </c>
      <c r="AJ71" s="241" t="s">
        <v>440</v>
      </c>
      <c r="AK71" s="241" t="s">
        <v>440</v>
      </c>
      <c r="AL71" s="241">
        <v>104</v>
      </c>
      <c r="AM71" s="241">
        <v>36558560</v>
      </c>
      <c r="AN71" s="241">
        <v>163088174</v>
      </c>
      <c r="AO71" s="241"/>
      <c r="AP71" s="292"/>
      <c r="AQ71" s="302">
        <v>3.99</v>
      </c>
      <c r="AR71" s="541" t="s">
        <v>148</v>
      </c>
    </row>
    <row r="72" spans="1:44" ht="22.5" customHeight="1" x14ac:dyDescent="0.15">
      <c r="A72">
        <v>67</v>
      </c>
      <c r="B72" s="323" t="s">
        <v>112</v>
      </c>
      <c r="C72" s="324" t="s">
        <v>260</v>
      </c>
      <c r="D72" s="323" t="s">
        <v>35</v>
      </c>
      <c r="E72" s="330" t="s">
        <v>36</v>
      </c>
      <c r="F72" s="240">
        <v>42895875</v>
      </c>
      <c r="G72" s="240">
        <v>28108</v>
      </c>
      <c r="H72" s="240"/>
      <c r="I72" s="283">
        <v>190021549</v>
      </c>
      <c r="J72" s="285">
        <v>6.6000000000000005</v>
      </c>
      <c r="K72" s="284">
        <v>232945532</v>
      </c>
      <c r="L72" s="240"/>
      <c r="M72" s="240"/>
      <c r="N72" s="240"/>
      <c r="O72" s="240"/>
      <c r="P72" s="240"/>
      <c r="Q72" s="240"/>
      <c r="R72" s="240"/>
      <c r="S72" s="240"/>
      <c r="T72" s="283"/>
      <c r="U72" s="288"/>
      <c r="V72" s="284"/>
      <c r="W72" s="240">
        <v>232945532</v>
      </c>
      <c r="X72" s="240"/>
      <c r="Y72" s="290" t="s">
        <v>440</v>
      </c>
      <c r="Z72" s="499" t="s">
        <v>255</v>
      </c>
      <c r="AA72" s="240">
        <v>86</v>
      </c>
      <c r="AB72" s="500" t="s">
        <v>256</v>
      </c>
      <c r="AC72" s="240">
        <v>1590</v>
      </c>
      <c r="AD72" s="4"/>
      <c r="AE72" s="240"/>
      <c r="AF72" s="4"/>
      <c r="AG72" s="240"/>
      <c r="AH72" s="240">
        <v>93921</v>
      </c>
      <c r="AI72" s="240">
        <v>141426</v>
      </c>
      <c r="AJ72" s="241"/>
      <c r="AK72" s="241"/>
      <c r="AL72" s="241">
        <v>1</v>
      </c>
      <c r="AM72" s="241"/>
      <c r="AN72" s="241"/>
      <c r="AO72" s="241"/>
      <c r="AP72" s="292" t="s">
        <v>440</v>
      </c>
      <c r="AQ72" s="302">
        <v>18.41</v>
      </c>
      <c r="AR72" s="541" t="s">
        <v>148</v>
      </c>
    </row>
    <row r="73" spans="1:44" ht="22.5" customHeight="1" x14ac:dyDescent="0.15">
      <c r="A73">
        <v>68</v>
      </c>
      <c r="B73" s="323" t="s">
        <v>112</v>
      </c>
      <c r="C73" s="324" t="s">
        <v>261</v>
      </c>
      <c r="D73" s="323" t="s">
        <v>35</v>
      </c>
      <c r="E73" s="330" t="s">
        <v>36</v>
      </c>
      <c r="F73" s="240">
        <v>2599750</v>
      </c>
      <c r="G73" s="240">
        <v>1703</v>
      </c>
      <c r="H73" s="240"/>
      <c r="I73" s="283">
        <v>5475818</v>
      </c>
      <c r="J73" s="285">
        <v>0.4</v>
      </c>
      <c r="K73" s="284">
        <v>8077271</v>
      </c>
      <c r="L73" s="240"/>
      <c r="M73" s="240"/>
      <c r="N73" s="240"/>
      <c r="O73" s="240"/>
      <c r="P73" s="240"/>
      <c r="Q73" s="240"/>
      <c r="R73" s="240"/>
      <c r="S73" s="240"/>
      <c r="T73" s="283"/>
      <c r="U73" s="288"/>
      <c r="V73" s="284"/>
      <c r="W73" s="240">
        <v>8077271</v>
      </c>
      <c r="X73" s="240"/>
      <c r="Y73" s="290" t="s">
        <v>440</v>
      </c>
      <c r="Z73" s="499" t="s">
        <v>255</v>
      </c>
      <c r="AA73" s="240">
        <v>86</v>
      </c>
      <c r="AB73" s="4"/>
      <c r="AC73" s="240"/>
      <c r="AD73" s="4"/>
      <c r="AE73" s="240"/>
      <c r="AF73" s="4"/>
      <c r="AG73" s="240"/>
      <c r="AH73" s="240">
        <v>93921</v>
      </c>
      <c r="AI73" s="240"/>
      <c r="AJ73" s="241"/>
      <c r="AK73" s="241"/>
      <c r="AL73" s="313"/>
      <c r="AM73" s="240">
        <v>22129</v>
      </c>
      <c r="AN73" s="240"/>
      <c r="AO73" s="241"/>
      <c r="AP73" s="292" t="s">
        <v>440</v>
      </c>
      <c r="AQ73" s="302">
        <v>32.19</v>
      </c>
      <c r="AR73" s="541"/>
    </row>
    <row r="74" spans="1:44" ht="22.5" customHeight="1" x14ac:dyDescent="0.15">
      <c r="A74">
        <v>69</v>
      </c>
      <c r="B74" s="323" t="s">
        <v>112</v>
      </c>
      <c r="C74" s="324" t="s">
        <v>227</v>
      </c>
      <c r="D74" s="323" t="s">
        <v>35</v>
      </c>
      <c r="E74" s="330" t="s">
        <v>36</v>
      </c>
      <c r="F74" s="240">
        <v>40296125</v>
      </c>
      <c r="G74" s="240">
        <v>26404</v>
      </c>
      <c r="H74" s="240"/>
      <c r="I74" s="283">
        <v>184545731</v>
      </c>
      <c r="J74" s="288">
        <v>6.2</v>
      </c>
      <c r="K74" s="284">
        <v>224868260</v>
      </c>
      <c r="L74" s="240"/>
      <c r="M74" s="240"/>
      <c r="N74" s="240"/>
      <c r="O74" s="240"/>
      <c r="P74" s="240"/>
      <c r="Q74" s="240"/>
      <c r="R74" s="240"/>
      <c r="S74" s="240"/>
      <c r="T74" s="283"/>
      <c r="U74" s="288"/>
      <c r="V74" s="284"/>
      <c r="W74" s="240">
        <v>224868260</v>
      </c>
      <c r="X74" s="240"/>
      <c r="Y74" s="290" t="s">
        <v>440</v>
      </c>
      <c r="Z74" s="499" t="s">
        <v>256</v>
      </c>
      <c r="AA74" s="240">
        <v>1590</v>
      </c>
      <c r="AB74" s="4"/>
      <c r="AC74" s="240"/>
      <c r="AD74" s="4"/>
      <c r="AE74" s="240"/>
      <c r="AF74" s="4"/>
      <c r="AG74" s="240"/>
      <c r="AH74" s="240">
        <v>141426</v>
      </c>
      <c r="AI74" s="240"/>
      <c r="AJ74" s="241"/>
      <c r="AK74" s="241"/>
      <c r="AL74" s="241"/>
      <c r="AM74" s="240">
        <v>616077</v>
      </c>
      <c r="AN74" s="240">
        <v>36269074</v>
      </c>
      <c r="AO74" s="241"/>
      <c r="AP74" s="292" t="s">
        <v>440</v>
      </c>
      <c r="AQ74" s="302">
        <v>17.920000000000002</v>
      </c>
      <c r="AR74" s="541"/>
    </row>
    <row r="75" spans="1:44" ht="22.5" customHeight="1" x14ac:dyDescent="0.15">
      <c r="A75">
        <v>70</v>
      </c>
      <c r="B75" s="323" t="s">
        <v>112</v>
      </c>
      <c r="C75" s="324" t="s">
        <v>113</v>
      </c>
      <c r="D75" s="328" t="s">
        <v>35</v>
      </c>
      <c r="E75" s="328" t="s">
        <v>36</v>
      </c>
      <c r="F75" s="240">
        <v>28597250</v>
      </c>
      <c r="G75" s="240">
        <v>178949</v>
      </c>
      <c r="H75" s="240"/>
      <c r="I75" s="283">
        <v>84973542</v>
      </c>
      <c r="J75" s="288">
        <v>4.4000000000000004</v>
      </c>
      <c r="K75" s="284">
        <v>113749741</v>
      </c>
      <c r="L75" s="240"/>
      <c r="M75" s="240"/>
      <c r="N75" s="240"/>
      <c r="O75" s="240"/>
      <c r="P75" s="240"/>
      <c r="Q75" s="240"/>
      <c r="R75" s="240"/>
      <c r="S75" s="240"/>
      <c r="T75" s="283"/>
      <c r="U75" s="288"/>
      <c r="V75" s="284"/>
      <c r="W75" s="240">
        <v>113749741</v>
      </c>
      <c r="X75" s="240"/>
      <c r="Y75" s="290" t="s">
        <v>440</v>
      </c>
      <c r="Z75" s="5" t="s">
        <v>231</v>
      </c>
      <c r="AA75" s="240">
        <v>5946632350</v>
      </c>
      <c r="AB75" s="4" t="s">
        <v>257</v>
      </c>
      <c r="AC75" s="240">
        <v>385</v>
      </c>
      <c r="AD75" s="4"/>
      <c r="AE75" s="240"/>
      <c r="AF75" s="4"/>
      <c r="AG75" s="240"/>
      <c r="AH75" s="312">
        <v>1.9099999999999999E-2</v>
      </c>
      <c r="AI75" s="240">
        <v>295453</v>
      </c>
      <c r="AJ75" s="241"/>
      <c r="AK75" s="241"/>
      <c r="AL75" s="313">
        <v>0.8</v>
      </c>
      <c r="AM75" s="240">
        <v>311643</v>
      </c>
      <c r="AN75" s="240">
        <v>25852214</v>
      </c>
      <c r="AO75" s="241"/>
      <c r="AP75" s="292" t="s">
        <v>440</v>
      </c>
      <c r="AQ75" s="302">
        <v>25.14</v>
      </c>
      <c r="AR75" s="541" t="s">
        <v>148</v>
      </c>
    </row>
    <row r="76" spans="1:44" ht="22.5" customHeight="1" x14ac:dyDescent="0.15">
      <c r="A76">
        <v>71</v>
      </c>
      <c r="B76" s="328" t="s">
        <v>112</v>
      </c>
      <c r="C76" s="327" t="s">
        <v>342</v>
      </c>
      <c r="D76" s="328" t="s">
        <v>338</v>
      </c>
      <c r="E76" s="328" t="s">
        <v>339</v>
      </c>
      <c r="F76" s="240"/>
      <c r="G76" s="240"/>
      <c r="H76" s="240"/>
      <c r="I76" s="283"/>
      <c r="J76" s="288"/>
      <c r="K76" s="284"/>
      <c r="L76" s="240"/>
      <c r="M76" s="240"/>
      <c r="N76" s="240"/>
      <c r="O76" s="240"/>
      <c r="P76" s="240"/>
      <c r="Q76" s="240"/>
      <c r="R76" s="240"/>
      <c r="S76" s="240"/>
      <c r="T76" s="283"/>
      <c r="U76" s="288"/>
      <c r="V76" s="284"/>
      <c r="W76" s="240"/>
      <c r="X76" s="240"/>
      <c r="Y76" s="290" t="s">
        <v>440</v>
      </c>
      <c r="Z76" s="5" t="s">
        <v>450</v>
      </c>
      <c r="AA76" s="240"/>
      <c r="AB76" s="4"/>
      <c r="AC76" s="240"/>
      <c r="AD76" s="4"/>
      <c r="AE76" s="240"/>
      <c r="AF76" s="4"/>
      <c r="AG76" s="240"/>
      <c r="AH76" s="240"/>
      <c r="AI76" s="240"/>
      <c r="AJ76" s="241"/>
      <c r="AK76" s="241"/>
      <c r="AL76" s="241"/>
      <c r="AM76" s="240"/>
      <c r="AN76" s="240"/>
      <c r="AO76" s="241"/>
      <c r="AP76" s="292" t="s">
        <v>440</v>
      </c>
      <c r="AQ76" s="302"/>
      <c r="AR76" s="541" t="s">
        <v>148</v>
      </c>
    </row>
    <row r="77" spans="1:44" ht="22.5" customHeight="1" x14ac:dyDescent="0.15">
      <c r="A77">
        <v>72</v>
      </c>
      <c r="B77" s="328" t="s">
        <v>112</v>
      </c>
      <c r="C77" s="327" t="s">
        <v>344</v>
      </c>
      <c r="D77" s="328" t="s">
        <v>338</v>
      </c>
      <c r="E77" s="328" t="s">
        <v>345</v>
      </c>
      <c r="F77" s="240"/>
      <c r="G77" s="240"/>
      <c r="H77" s="240"/>
      <c r="I77" s="283"/>
      <c r="J77" s="288"/>
      <c r="K77" s="284"/>
      <c r="L77" s="240"/>
      <c r="M77" s="240"/>
      <c r="N77" s="240"/>
      <c r="O77" s="240"/>
      <c r="P77" s="240"/>
      <c r="Q77" s="240"/>
      <c r="R77" s="240"/>
      <c r="S77" s="240"/>
      <c r="T77" s="283"/>
      <c r="U77" s="288"/>
      <c r="V77" s="284"/>
      <c r="W77" s="240"/>
      <c r="X77" s="240"/>
      <c r="Y77" s="290" t="s">
        <v>440</v>
      </c>
      <c r="Z77" s="5" t="s">
        <v>451</v>
      </c>
      <c r="AA77" s="240"/>
      <c r="AB77" s="4"/>
      <c r="AC77" s="240"/>
      <c r="AD77" s="4"/>
      <c r="AE77" s="240"/>
      <c r="AF77" s="4"/>
      <c r="AG77" s="240"/>
      <c r="AH77" s="240"/>
      <c r="AI77" s="240"/>
      <c r="AJ77" s="241"/>
      <c r="AK77" s="241"/>
      <c r="AL77" s="241"/>
      <c r="AM77" s="240"/>
      <c r="AN77" s="240"/>
      <c r="AO77" s="241"/>
      <c r="AP77" s="292" t="s">
        <v>440</v>
      </c>
      <c r="AQ77" s="302"/>
      <c r="AR77" s="541" t="s">
        <v>149</v>
      </c>
    </row>
    <row r="78" spans="1:44" ht="22.5" customHeight="1" x14ac:dyDescent="0.15">
      <c r="A78">
        <v>73</v>
      </c>
      <c r="B78" s="323" t="s">
        <v>112</v>
      </c>
      <c r="C78" s="324" t="s">
        <v>197</v>
      </c>
      <c r="D78" s="328" t="s">
        <v>35</v>
      </c>
      <c r="E78" s="328" t="s">
        <v>38</v>
      </c>
      <c r="F78" s="240">
        <v>60444187</v>
      </c>
      <c r="G78" s="240">
        <v>14632150</v>
      </c>
      <c r="H78" s="240"/>
      <c r="I78" s="283">
        <v>16539729</v>
      </c>
      <c r="J78" s="288">
        <v>9.3000000000000007</v>
      </c>
      <c r="K78" s="284">
        <v>91616067</v>
      </c>
      <c r="L78" s="240">
        <v>598307334</v>
      </c>
      <c r="M78" s="240">
        <v>233953911</v>
      </c>
      <c r="N78" s="240">
        <v>188652157</v>
      </c>
      <c r="O78" s="240">
        <v>50262167</v>
      </c>
      <c r="P78" s="240">
        <v>786959491</v>
      </c>
      <c r="Q78" s="240">
        <v>1148420</v>
      </c>
      <c r="R78" s="240">
        <v>284216078</v>
      </c>
      <c r="S78" s="240">
        <v>73710591</v>
      </c>
      <c r="T78" s="283"/>
      <c r="U78" s="288">
        <v>68.8</v>
      </c>
      <c r="V78" s="284">
        <v>1146034582</v>
      </c>
      <c r="W78" s="240">
        <v>1237650650</v>
      </c>
      <c r="X78" s="240">
        <v>183994074</v>
      </c>
      <c r="Y78" s="290">
        <v>14.87</v>
      </c>
      <c r="Z78" s="309" t="s">
        <v>262</v>
      </c>
      <c r="AA78" s="240">
        <v>2063</v>
      </c>
      <c r="AB78" s="500" t="s">
        <v>258</v>
      </c>
      <c r="AC78" s="240">
        <v>276</v>
      </c>
      <c r="AD78" s="4"/>
      <c r="AE78" s="240"/>
      <c r="AF78" s="4"/>
      <c r="AG78" s="240"/>
      <c r="AH78" s="240">
        <v>599927</v>
      </c>
      <c r="AI78" s="240">
        <v>4484241</v>
      </c>
      <c r="AJ78" s="241"/>
      <c r="AK78" s="241"/>
      <c r="AL78" s="241">
        <v>9</v>
      </c>
      <c r="AM78" s="240">
        <v>3390823</v>
      </c>
      <c r="AN78" s="240">
        <v>15846999</v>
      </c>
      <c r="AO78" s="241"/>
      <c r="AP78" s="292" t="s">
        <v>440</v>
      </c>
      <c r="AQ78" s="302">
        <v>68.56</v>
      </c>
      <c r="AR78" s="541" t="s">
        <v>149</v>
      </c>
    </row>
    <row r="79" spans="1:44" ht="22.5" customHeight="1" x14ac:dyDescent="0.15">
      <c r="A79">
        <v>74</v>
      </c>
      <c r="B79" s="328" t="s">
        <v>114</v>
      </c>
      <c r="C79" s="327" t="s">
        <v>340</v>
      </c>
      <c r="D79" s="328" t="s">
        <v>338</v>
      </c>
      <c r="E79" s="328" t="s">
        <v>339</v>
      </c>
      <c r="F79" s="240"/>
      <c r="G79" s="240"/>
      <c r="H79" s="240"/>
      <c r="I79" s="283"/>
      <c r="J79" s="288"/>
      <c r="K79" s="284"/>
      <c r="L79" s="240"/>
      <c r="M79" s="240"/>
      <c r="N79" s="240"/>
      <c r="O79" s="240"/>
      <c r="P79" s="240"/>
      <c r="Q79" s="240"/>
      <c r="R79" s="240"/>
      <c r="S79" s="240"/>
      <c r="T79" s="283"/>
      <c r="U79" s="288"/>
      <c r="V79" s="284"/>
      <c r="W79" s="240"/>
      <c r="X79" s="240"/>
      <c r="Y79" s="290" t="s">
        <v>440</v>
      </c>
      <c r="Z79" s="5" t="s">
        <v>259</v>
      </c>
      <c r="AA79" s="240"/>
      <c r="AB79" s="4"/>
      <c r="AC79" s="240"/>
      <c r="AD79" s="4"/>
      <c r="AE79" s="240"/>
      <c r="AF79" s="4"/>
      <c r="AG79" s="240"/>
      <c r="AH79" s="240"/>
      <c r="AI79" s="240"/>
      <c r="AJ79" s="241"/>
      <c r="AK79" s="241"/>
      <c r="AL79" s="241"/>
      <c r="AM79" s="240"/>
      <c r="AN79" s="240"/>
      <c r="AO79" s="241"/>
      <c r="AP79" s="292" t="s">
        <v>440</v>
      </c>
      <c r="AQ79" s="302"/>
      <c r="AR79" s="541" t="s">
        <v>148</v>
      </c>
    </row>
    <row r="80" spans="1:44" ht="22.5" customHeight="1" x14ac:dyDescent="0.15">
      <c r="A80">
        <v>75</v>
      </c>
      <c r="B80" s="328" t="s">
        <v>114</v>
      </c>
      <c r="C80" s="327" t="s">
        <v>439</v>
      </c>
      <c r="D80" s="328" t="s">
        <v>338</v>
      </c>
      <c r="E80" s="328" t="s">
        <v>339</v>
      </c>
      <c r="F80" s="240"/>
      <c r="G80" s="240"/>
      <c r="H80" s="240"/>
      <c r="I80" s="283"/>
      <c r="J80" s="288"/>
      <c r="K80" s="284"/>
      <c r="L80" s="240"/>
      <c r="M80" s="240"/>
      <c r="N80" s="240"/>
      <c r="O80" s="240"/>
      <c r="P80" s="240"/>
      <c r="Q80" s="240"/>
      <c r="R80" s="240"/>
      <c r="S80" s="240"/>
      <c r="T80" s="283"/>
      <c r="U80" s="288"/>
      <c r="V80" s="284"/>
      <c r="W80" s="240"/>
      <c r="X80" s="240"/>
      <c r="Y80" s="290" t="s">
        <v>440</v>
      </c>
      <c r="Z80" s="5" t="s">
        <v>375</v>
      </c>
      <c r="AA80" s="240"/>
      <c r="AB80" s="4"/>
      <c r="AC80" s="240"/>
      <c r="AD80" s="4"/>
      <c r="AE80" s="240"/>
      <c r="AF80" s="4"/>
      <c r="AG80" s="240"/>
      <c r="AH80" s="240"/>
      <c r="AI80" s="240"/>
      <c r="AJ80" s="241"/>
      <c r="AK80" s="241"/>
      <c r="AL80" s="241"/>
      <c r="AM80" s="240"/>
      <c r="AN80" s="240"/>
      <c r="AO80" s="241"/>
      <c r="AP80" s="292" t="s">
        <v>440</v>
      </c>
      <c r="AQ80" s="302"/>
      <c r="AR80" s="541" t="s">
        <v>148</v>
      </c>
    </row>
    <row r="81" spans="1:44" ht="22.5" customHeight="1" x14ac:dyDescent="0.15">
      <c r="A81">
        <v>76</v>
      </c>
      <c r="B81" s="328" t="s">
        <v>114</v>
      </c>
      <c r="C81" s="327" t="s">
        <v>341</v>
      </c>
      <c r="D81" s="328" t="s">
        <v>338</v>
      </c>
      <c r="E81" s="328" t="s">
        <v>339</v>
      </c>
      <c r="F81" s="240"/>
      <c r="G81" s="240"/>
      <c r="H81" s="240"/>
      <c r="I81" s="283"/>
      <c r="J81" s="288"/>
      <c r="K81" s="284"/>
      <c r="L81" s="240"/>
      <c r="M81" s="240"/>
      <c r="N81" s="240"/>
      <c r="O81" s="240"/>
      <c r="P81" s="240"/>
      <c r="Q81" s="240"/>
      <c r="R81" s="240"/>
      <c r="S81" s="240"/>
      <c r="T81" s="283"/>
      <c r="U81" s="288"/>
      <c r="V81" s="284"/>
      <c r="W81" s="240"/>
      <c r="X81" s="240"/>
      <c r="Y81" s="290" t="s">
        <v>440</v>
      </c>
      <c r="Z81" s="5" t="s">
        <v>450</v>
      </c>
      <c r="AA81" s="240"/>
      <c r="AB81" s="4"/>
      <c r="AC81" s="240"/>
      <c r="AD81" s="4"/>
      <c r="AE81" s="240"/>
      <c r="AF81" s="4"/>
      <c r="AG81" s="240"/>
      <c r="AH81" s="240"/>
      <c r="AI81" s="240"/>
      <c r="AJ81" s="241"/>
      <c r="AK81" s="241"/>
      <c r="AL81" s="241"/>
      <c r="AM81" s="240"/>
      <c r="AN81" s="240"/>
      <c r="AO81" s="241"/>
      <c r="AP81" s="292" t="s">
        <v>440</v>
      </c>
      <c r="AQ81" s="302"/>
      <c r="AR81" s="541" t="s">
        <v>148</v>
      </c>
    </row>
    <row r="82" spans="1:44" ht="22.5" customHeight="1" x14ac:dyDescent="0.15">
      <c r="A82">
        <v>77</v>
      </c>
      <c r="B82" s="331" t="s">
        <v>114</v>
      </c>
      <c r="C82" s="324" t="s">
        <v>116</v>
      </c>
      <c r="D82" s="328" t="s">
        <v>35</v>
      </c>
      <c r="E82" s="328" t="s">
        <v>36</v>
      </c>
      <c r="F82" s="240">
        <v>5199500</v>
      </c>
      <c r="G82" s="240">
        <v>4315955</v>
      </c>
      <c r="H82" s="240">
        <v>56414</v>
      </c>
      <c r="I82" s="283">
        <v>1144886</v>
      </c>
      <c r="J82" s="288">
        <v>0.8</v>
      </c>
      <c r="K82" s="284">
        <v>10716755</v>
      </c>
      <c r="L82" s="240"/>
      <c r="M82" s="240"/>
      <c r="N82" s="240"/>
      <c r="O82" s="240"/>
      <c r="P82" s="240"/>
      <c r="Q82" s="240"/>
      <c r="R82" s="240"/>
      <c r="S82" s="240"/>
      <c r="T82" s="283"/>
      <c r="U82" s="288"/>
      <c r="V82" s="284"/>
      <c r="W82" s="240">
        <v>10716755</v>
      </c>
      <c r="X82" s="240">
        <v>3052800</v>
      </c>
      <c r="Y82" s="290">
        <v>28.49</v>
      </c>
      <c r="Z82" s="5" t="s">
        <v>241</v>
      </c>
      <c r="AA82" s="240">
        <v>64</v>
      </c>
      <c r="AB82" s="4"/>
      <c r="AC82" s="240"/>
      <c r="AD82" s="4"/>
      <c r="AE82" s="240"/>
      <c r="AF82" s="4"/>
      <c r="AG82" s="240"/>
      <c r="AH82" s="240">
        <v>167449</v>
      </c>
      <c r="AI82" s="240"/>
      <c r="AJ82" s="241"/>
      <c r="AK82" s="241"/>
      <c r="AL82" s="314">
        <v>0.08</v>
      </c>
      <c r="AM82" s="240">
        <v>29360</v>
      </c>
      <c r="AN82" s="240"/>
      <c r="AO82" s="241"/>
      <c r="AP82" s="292" t="s">
        <v>440</v>
      </c>
      <c r="AQ82" s="302">
        <v>48.52</v>
      </c>
      <c r="AR82" s="541" t="s">
        <v>148</v>
      </c>
    </row>
    <row r="83" spans="1:44" ht="22.5" customHeight="1" x14ac:dyDescent="0.15">
      <c r="A83">
        <v>78</v>
      </c>
      <c r="B83" s="331" t="s">
        <v>114</v>
      </c>
      <c r="C83" s="324" t="s">
        <v>115</v>
      </c>
      <c r="D83" s="328" t="s">
        <v>87</v>
      </c>
      <c r="E83" s="328" t="s">
        <v>38</v>
      </c>
      <c r="F83" s="240">
        <v>31197000</v>
      </c>
      <c r="G83" s="240">
        <v>17011950</v>
      </c>
      <c r="H83" s="240">
        <v>6850580</v>
      </c>
      <c r="I83" s="283">
        <v>122760000</v>
      </c>
      <c r="J83" s="288">
        <v>4.8</v>
      </c>
      <c r="K83" s="284">
        <v>177819531</v>
      </c>
      <c r="L83" s="240"/>
      <c r="M83" s="240"/>
      <c r="N83" s="240"/>
      <c r="O83" s="240"/>
      <c r="P83" s="240"/>
      <c r="Q83" s="240"/>
      <c r="R83" s="240"/>
      <c r="S83" s="240"/>
      <c r="T83" s="283"/>
      <c r="U83" s="288"/>
      <c r="V83" s="284"/>
      <c r="W83" s="240">
        <v>177819531</v>
      </c>
      <c r="X83" s="240"/>
      <c r="Y83" s="290" t="s">
        <v>440</v>
      </c>
      <c r="Z83" s="5" t="s">
        <v>259</v>
      </c>
      <c r="AA83" s="240">
        <v>178</v>
      </c>
      <c r="AB83" s="4"/>
      <c r="AC83" s="240"/>
      <c r="AD83" s="4"/>
      <c r="AE83" s="240"/>
      <c r="AF83" s="4"/>
      <c r="AG83" s="240"/>
      <c r="AH83" s="240">
        <v>998986</v>
      </c>
      <c r="AI83" s="240"/>
      <c r="AJ83" s="241"/>
      <c r="AK83" s="241"/>
      <c r="AL83" s="241">
        <v>1</v>
      </c>
      <c r="AM83" s="240">
        <v>487176</v>
      </c>
      <c r="AN83" s="240">
        <v>37045735</v>
      </c>
      <c r="AO83" s="241">
        <v>5086044582</v>
      </c>
      <c r="AP83" s="292">
        <v>3.5</v>
      </c>
      <c r="AQ83" s="302">
        <v>17.54</v>
      </c>
      <c r="AR83" s="541" t="s">
        <v>151</v>
      </c>
    </row>
    <row r="84" spans="1:44" ht="22.5" customHeight="1" x14ac:dyDescent="0.15">
      <c r="A84">
        <v>79</v>
      </c>
      <c r="B84" s="328" t="s">
        <v>117</v>
      </c>
      <c r="C84" s="327" t="s">
        <v>336</v>
      </c>
      <c r="D84" s="328" t="s">
        <v>338</v>
      </c>
      <c r="E84" s="328" t="s">
        <v>339</v>
      </c>
      <c r="F84" s="240">
        <v>1449360629</v>
      </c>
      <c r="G84" s="240">
        <v>2101955037</v>
      </c>
      <c r="H84" s="240">
        <v>79809083</v>
      </c>
      <c r="I84" s="283">
        <v>794810201</v>
      </c>
      <c r="J84" s="288">
        <v>223</v>
      </c>
      <c r="K84" s="284">
        <v>4425934950</v>
      </c>
      <c r="L84" s="240"/>
      <c r="M84" s="240"/>
      <c r="N84" s="240"/>
      <c r="O84" s="240"/>
      <c r="P84" s="240"/>
      <c r="Q84" s="240"/>
      <c r="R84" s="240"/>
      <c r="S84" s="240"/>
      <c r="T84" s="283"/>
      <c r="U84" s="288"/>
      <c r="V84" s="284"/>
      <c r="W84" s="240">
        <v>4425934950</v>
      </c>
      <c r="X84" s="240"/>
      <c r="Y84" s="290"/>
      <c r="Z84" s="5" t="s">
        <v>376</v>
      </c>
      <c r="AA84" s="240">
        <v>640</v>
      </c>
      <c r="AB84" s="4"/>
      <c r="AC84" s="240"/>
      <c r="AD84" s="4"/>
      <c r="AE84" s="240"/>
      <c r="AF84" s="4"/>
      <c r="AG84" s="240"/>
      <c r="AH84" s="240">
        <v>6915523</v>
      </c>
      <c r="AI84" s="240" t="s">
        <v>440</v>
      </c>
      <c r="AJ84" s="241" t="s">
        <v>440</v>
      </c>
      <c r="AK84" s="241" t="s">
        <v>440</v>
      </c>
      <c r="AL84" s="241">
        <v>34</v>
      </c>
      <c r="AM84" s="240">
        <v>12125849</v>
      </c>
      <c r="AN84" s="240">
        <v>19847241</v>
      </c>
      <c r="AO84" s="241"/>
      <c r="AP84" s="292"/>
      <c r="AQ84" s="302">
        <v>32.75</v>
      </c>
      <c r="AR84" s="541" t="s">
        <v>148</v>
      </c>
    </row>
    <row r="85" spans="1:44" ht="22.5" customHeight="1" x14ac:dyDescent="0.15">
      <c r="A85">
        <v>80</v>
      </c>
      <c r="B85" s="328" t="s">
        <v>117</v>
      </c>
      <c r="C85" s="327" t="s">
        <v>335</v>
      </c>
      <c r="D85" s="328" t="s">
        <v>338</v>
      </c>
      <c r="E85" s="328" t="s">
        <v>339</v>
      </c>
      <c r="F85" s="240">
        <v>2560753757</v>
      </c>
      <c r="G85" s="240">
        <v>1646309579</v>
      </c>
      <c r="H85" s="240">
        <v>406062536</v>
      </c>
      <c r="I85" s="283">
        <v>1069023246</v>
      </c>
      <c r="J85" s="288">
        <v>394</v>
      </c>
      <c r="K85" s="284">
        <v>5682149119</v>
      </c>
      <c r="L85" s="240"/>
      <c r="M85" s="240"/>
      <c r="N85" s="240"/>
      <c r="O85" s="240"/>
      <c r="P85" s="240"/>
      <c r="Q85" s="240"/>
      <c r="R85" s="240"/>
      <c r="S85" s="240"/>
      <c r="T85" s="283"/>
      <c r="U85" s="288"/>
      <c r="V85" s="284"/>
      <c r="W85" s="240">
        <v>5682149119</v>
      </c>
      <c r="X85" s="240"/>
      <c r="Y85" s="290"/>
      <c r="Z85" s="5" t="s">
        <v>376</v>
      </c>
      <c r="AA85" s="240">
        <v>2120</v>
      </c>
      <c r="AB85" s="4"/>
      <c r="AC85" s="240"/>
      <c r="AD85" s="4"/>
      <c r="AE85" s="240"/>
      <c r="AF85" s="4"/>
      <c r="AG85" s="240"/>
      <c r="AH85" s="240">
        <v>2680259</v>
      </c>
      <c r="AI85" s="240" t="s">
        <v>440</v>
      </c>
      <c r="AJ85" s="241" t="s">
        <v>440</v>
      </c>
      <c r="AK85" s="241" t="s">
        <v>440</v>
      </c>
      <c r="AL85" s="241">
        <v>44</v>
      </c>
      <c r="AM85" s="240">
        <v>15567531</v>
      </c>
      <c r="AN85" s="240">
        <v>14421698</v>
      </c>
      <c r="AO85" s="241"/>
      <c r="AP85" s="292"/>
      <c r="AQ85" s="302">
        <v>45.07</v>
      </c>
      <c r="AR85" s="541" t="s">
        <v>148</v>
      </c>
    </row>
    <row r="86" spans="1:44" ht="22.5" customHeight="1" x14ac:dyDescent="0.15">
      <c r="A86">
        <v>81</v>
      </c>
      <c r="B86" s="328" t="s">
        <v>117</v>
      </c>
      <c r="C86" s="327" t="s">
        <v>337</v>
      </c>
      <c r="D86" s="328" t="s">
        <v>338</v>
      </c>
      <c r="E86" s="328" t="s">
        <v>339</v>
      </c>
      <c r="F86" s="240"/>
      <c r="G86" s="240"/>
      <c r="H86" s="240"/>
      <c r="I86" s="283"/>
      <c r="J86" s="288"/>
      <c r="K86" s="284"/>
      <c r="L86" s="240"/>
      <c r="M86" s="240"/>
      <c r="N86" s="240"/>
      <c r="O86" s="240"/>
      <c r="P86" s="240"/>
      <c r="Q86" s="240"/>
      <c r="R86" s="240"/>
      <c r="S86" s="240"/>
      <c r="T86" s="283"/>
      <c r="U86" s="288"/>
      <c r="V86" s="284"/>
      <c r="W86" s="240"/>
      <c r="X86" s="240"/>
      <c r="Y86" s="290" t="s">
        <v>440</v>
      </c>
      <c r="Z86" s="499" t="s">
        <v>500</v>
      </c>
      <c r="AA86" s="240"/>
      <c r="AB86" s="4"/>
      <c r="AC86" s="240"/>
      <c r="AD86" s="4"/>
      <c r="AE86" s="240"/>
      <c r="AF86" s="4"/>
      <c r="AG86" s="240"/>
      <c r="AH86" s="240"/>
      <c r="AI86" s="240"/>
      <c r="AJ86" s="241"/>
      <c r="AK86" s="241"/>
      <c r="AL86" s="241"/>
      <c r="AM86" s="240"/>
      <c r="AN86" s="240"/>
      <c r="AO86" s="241"/>
      <c r="AP86" s="292" t="s">
        <v>440</v>
      </c>
      <c r="AQ86" s="302"/>
      <c r="AR86" s="541" t="s">
        <v>148</v>
      </c>
    </row>
    <row r="87" spans="1:44" ht="18" customHeight="1" x14ac:dyDescent="0.15">
      <c r="B87" s="538" t="s">
        <v>493</v>
      </c>
    </row>
    <row r="88" spans="1:44" ht="18" customHeight="1" x14ac:dyDescent="0.15">
      <c r="B88" s="539" t="s">
        <v>494</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156</v>
      </c>
      <c r="G96" s="1" t="s">
        <v>145</v>
      </c>
      <c r="H96" s="1" t="s">
        <v>146</v>
      </c>
      <c r="X96" s="3"/>
      <c r="Y96" s="106"/>
      <c r="AO96" s="3"/>
      <c r="AP96" s="106"/>
      <c r="AQ96" s="106"/>
    </row>
    <row r="97" spans="5:43" x14ac:dyDescent="0.15">
      <c r="E97" s="3" t="s">
        <v>148</v>
      </c>
      <c r="F97" s="106">
        <f>AQ98</f>
        <v>34.547916666666666</v>
      </c>
      <c r="G97" s="106">
        <f>Y98</f>
        <v>40.78125</v>
      </c>
      <c r="H97" s="106" t="e">
        <f>AP98</f>
        <v>#DIV/0!</v>
      </c>
      <c r="X97" s="3"/>
      <c r="Y97" s="106"/>
      <c r="AO97" s="3"/>
      <c r="AP97" s="106"/>
      <c r="AQ97" s="106"/>
    </row>
    <row r="98" spans="5:43" x14ac:dyDescent="0.15">
      <c r="E98" s="3" t="s">
        <v>152</v>
      </c>
      <c r="F98" s="106">
        <f t="shared" ref="F98:F100" si="0">AQ99</f>
        <v>48.445714285714288</v>
      </c>
      <c r="G98" s="106">
        <f t="shared" ref="G98:G100" si="1">Y99</f>
        <v>23.684000000000001</v>
      </c>
      <c r="H98" s="106" t="e">
        <f t="shared" ref="H98:H100" si="2">AP99</f>
        <v>#DIV/0!</v>
      </c>
      <c r="X98" s="3" t="s">
        <v>155</v>
      </c>
      <c r="Y98" s="106">
        <f>AVERAGEIF($AR$6:$AR$86,"=直接行政サービス事業（直接型）",Y$6:Y$86)</f>
        <v>40.78125</v>
      </c>
      <c r="AO98" s="3" t="s">
        <v>148</v>
      </c>
      <c r="AP98" s="106" t="e">
        <f>AVERAGEIF($AR$6:$AR$86,"=直接行政サービス事業（直接型）",AP$6:AP$86)</f>
        <v>#DIV/0!</v>
      </c>
      <c r="AQ98" s="106">
        <f>AVERAGEIF($AR$6:$AR$86,"=直接行政サービス事業（直接型）",AQ$6:AQ$86)</f>
        <v>34.547916666666666</v>
      </c>
    </row>
    <row r="99" spans="5:43" x14ac:dyDescent="0.15">
      <c r="E99" s="3" t="s">
        <v>153</v>
      </c>
      <c r="F99" s="106">
        <f t="shared" si="0"/>
        <v>36.333999999999996</v>
      </c>
      <c r="G99" s="106" t="e">
        <f t="shared" si="1"/>
        <v>#DIV/0!</v>
      </c>
      <c r="H99" s="106">
        <f t="shared" si="2"/>
        <v>3.6479999999999997</v>
      </c>
      <c r="X99" s="3" t="s">
        <v>152</v>
      </c>
      <c r="Y99" s="106">
        <f>AVERAGEIF($AR$6:$AR$86,"=直接行政サービス事業（間接型）",Y$6:Y$86)</f>
        <v>23.684000000000001</v>
      </c>
      <c r="AO99" s="3" t="s">
        <v>152</v>
      </c>
      <c r="AP99" s="106" t="e">
        <f>AVERAGEIF($AR$6:$AR$86,"=直接行政サービス事業（間接型）",AP$6:AP$86)</f>
        <v>#DIV/0!</v>
      </c>
      <c r="AQ99" s="106">
        <f>AVERAGEIF($AR$6:$AR$86,"=直接行政サービス事業（間接型）",AQ$6:AQ$86)</f>
        <v>48.445714285714288</v>
      </c>
    </row>
    <row r="100" spans="5:43" x14ac:dyDescent="0.15">
      <c r="E100" s="3" t="s">
        <v>154</v>
      </c>
      <c r="F100" s="106">
        <f t="shared" si="0"/>
        <v>30.552500000000002</v>
      </c>
      <c r="G100" s="106">
        <f t="shared" si="1"/>
        <v>50.52</v>
      </c>
      <c r="H100" s="106">
        <f t="shared" si="2"/>
        <v>4.1866666666666665</v>
      </c>
      <c r="X100" s="3" t="s">
        <v>153</v>
      </c>
      <c r="Y100" s="106" t="e">
        <f>AVERAGEIF($AR$6:$AR$86,"=資源配分事業（直接型）",Y$6:Y$86)</f>
        <v>#DIV/0!</v>
      </c>
      <c r="AO100" s="3" t="s">
        <v>153</v>
      </c>
      <c r="AP100" s="106">
        <f>AVERAGEIF($AR$6:$AR$86,"=資源配分事業（直接型）",AP$6:AP$86)</f>
        <v>3.6479999999999997</v>
      </c>
      <c r="AQ100" s="106">
        <f>AVERAGEIF($AR$6:$AR$86,"=資源配分事業（直接型）",AQ$6:AQ$86)</f>
        <v>36.333999999999996</v>
      </c>
    </row>
    <row r="101" spans="5:43" x14ac:dyDescent="0.15">
      <c r="X101" s="3" t="s">
        <v>154</v>
      </c>
      <c r="Y101" s="106">
        <f>AVERAGEIF($AR$6:$AR$86,"=資源配分事業（間接型）",Y$6:Y$86)</f>
        <v>50.52</v>
      </c>
      <c r="AO101" s="3" t="s">
        <v>154</v>
      </c>
      <c r="AP101" s="106">
        <f>AVERAGEIF($AR$6:$AR$86,"=資源配分事業（間接型）",AP$6:AP$86)</f>
        <v>4.1866666666666665</v>
      </c>
      <c r="AQ101" s="106">
        <f>AVERAGEIF($AR$6:$AR$86,"=資源配分事業（間接型）",AQ$6:AQ$86)</f>
        <v>30.552500000000002</v>
      </c>
    </row>
  </sheetData>
  <sortState ref="A5:AY71">
    <sortCondition ref="A5:A71"/>
  </sortState>
  <mergeCells count="28">
    <mergeCell ref="AI3:AI4"/>
    <mergeCell ref="AJ3:AJ4"/>
    <mergeCell ref="B3:B4"/>
    <mergeCell ref="C3:C4"/>
    <mergeCell ref="D3:D4"/>
    <mergeCell ref="E3:E4"/>
    <mergeCell ref="F3:K3"/>
    <mergeCell ref="L3:V3"/>
    <mergeCell ref="W3:W4"/>
    <mergeCell ref="X3:X4"/>
    <mergeCell ref="Y3:Y4"/>
    <mergeCell ref="AH3:AH4"/>
    <mergeCell ref="AR3:AR5"/>
    <mergeCell ref="Z3:Z4"/>
    <mergeCell ref="AA3:AA4"/>
    <mergeCell ref="AB3:AB4"/>
    <mergeCell ref="AC3:AC4"/>
    <mergeCell ref="AD3:AD4"/>
    <mergeCell ref="AE3:AE4"/>
    <mergeCell ref="AF3:AF4"/>
    <mergeCell ref="AK3:AK4"/>
    <mergeCell ref="AQ3:AQ4"/>
    <mergeCell ref="AL3:AL4"/>
    <mergeCell ref="AM3:AM4"/>
    <mergeCell ref="AN3:AN4"/>
    <mergeCell ref="AO3:AO4"/>
    <mergeCell ref="AP3:AP4"/>
    <mergeCell ref="AG3:AG4"/>
  </mergeCells>
  <phoneticPr fontId="2"/>
  <pageMargins left="0.11811023622047245" right="0" top="0.35433070866141736" bottom="0.35433070866141736" header="0.31496062992125984" footer="0.31496062992125984"/>
  <pageSetup paperSize="8" scale="41"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view="pageBreakPreview" zoomScale="70" zoomScaleNormal="85" zoomScaleSheetLayoutView="70" workbookViewId="0">
      <selection activeCell="D30" sqref="D30"/>
    </sheetView>
  </sheetViews>
  <sheetFormatPr defaultRowHeight="13.5" outlineLevelRow="1" x14ac:dyDescent="0.15"/>
  <cols>
    <col min="1" max="1" width="4.375" customWidth="1"/>
    <col min="2" max="2" width="3.875" customWidth="1"/>
    <col min="3" max="3" width="39.25" customWidth="1"/>
    <col min="4" max="9" width="15.75" customWidth="1"/>
    <col min="10" max="10" width="2.25" customWidth="1"/>
    <col min="11" max="12" width="15.75" customWidth="1"/>
    <col min="13" max="13" width="2.375" customWidth="1"/>
    <col min="14" max="15" width="15.5" customWidth="1"/>
    <col min="16" max="16" width="14.25" customWidth="1"/>
    <col min="20" max="20" width="4.25" customWidth="1"/>
    <col min="21" max="21" width="15.625" customWidth="1"/>
    <col min="24" max="24" width="25.875" customWidth="1"/>
    <col min="25" max="25" width="13.625" customWidth="1"/>
  </cols>
  <sheetData>
    <row r="1" spans="2:21" ht="15" thickBot="1" x14ac:dyDescent="0.2">
      <c r="B1" s="28" t="s">
        <v>0</v>
      </c>
      <c r="F1" s="28" t="s">
        <v>30</v>
      </c>
      <c r="G1" s="28"/>
      <c r="H1" s="28"/>
      <c r="I1" s="28"/>
      <c r="J1" s="28"/>
      <c r="Q1" t="s">
        <v>74</v>
      </c>
    </row>
    <row r="2" spans="2:21" ht="25.5" customHeight="1" thickBot="1" x14ac:dyDescent="0.2">
      <c r="B2" s="682" t="str">
        <f>IF(②フルコスト分析シート!B2=0,"自動入力",②フルコスト分析シート!B2)</f>
        <v>--- 「①事業一覧」シートから事業名をコピー＆貼り付け or プルダウンから選択 ---</v>
      </c>
      <c r="C2" s="683"/>
      <c r="D2" s="684"/>
      <c r="E2" s="27"/>
      <c r="F2" s="679" t="e">
        <f>IF(②フルコスト分析シート!$B$2=0,"自動入力",VLOOKUP(②フルコスト分析シート!$B$2,①事業一覧!$C$6:$K$86,9,FALSE))</f>
        <v>#N/A</v>
      </c>
      <c r="G2" s="680"/>
      <c r="H2" s="680"/>
      <c r="I2" s="680"/>
      <c r="J2" s="680"/>
      <c r="K2" s="680"/>
      <c r="L2" s="681"/>
      <c r="M2" s="40"/>
      <c r="N2" s="40"/>
      <c r="O2" s="36"/>
      <c r="Q2" s="697" t="str">
        <f>IF(②フルコスト分析シート!Q2=0,"自動入力",②フルコスト分析シート!Q2)</f>
        <v>自動入力</v>
      </c>
      <c r="R2" s="698"/>
      <c r="S2" s="698"/>
      <c r="T2" s="698"/>
      <c r="U2" s="699"/>
    </row>
    <row r="4" spans="2:21" ht="15" customHeight="1" thickBot="1" x14ac:dyDescent="0.2">
      <c r="L4" s="31" t="s">
        <v>76</v>
      </c>
      <c r="N4" s="31"/>
      <c r="O4" s="31" t="s">
        <v>76</v>
      </c>
      <c r="U4" s="31" t="s">
        <v>76</v>
      </c>
    </row>
    <row r="5" spans="2:21" ht="41.25" customHeight="1" thickBot="1" x14ac:dyDescent="0.2">
      <c r="B5" s="685"/>
      <c r="C5" s="686"/>
      <c r="D5" s="461" t="s">
        <v>22</v>
      </c>
      <c r="E5" s="29" t="s">
        <v>23</v>
      </c>
      <c r="F5" s="162" t="s">
        <v>24</v>
      </c>
      <c r="G5" s="532" t="s">
        <v>212</v>
      </c>
      <c r="H5" s="29" t="s">
        <v>488</v>
      </c>
      <c r="I5" s="562" t="s">
        <v>520</v>
      </c>
      <c r="J5" s="557"/>
      <c r="K5" s="47" t="s">
        <v>585</v>
      </c>
      <c r="L5" s="35" t="s">
        <v>586</v>
      </c>
      <c r="M5" s="30"/>
      <c r="N5" s="37" t="s">
        <v>509</v>
      </c>
      <c r="O5" s="34" t="s">
        <v>62</v>
      </c>
      <c r="U5" s="39" t="s">
        <v>587</v>
      </c>
    </row>
    <row r="6" spans="2:21" ht="25.5" customHeight="1" x14ac:dyDescent="0.15">
      <c r="B6" s="687" t="s">
        <v>77</v>
      </c>
      <c r="C6" s="48" t="s">
        <v>1</v>
      </c>
      <c r="D6" s="358" t="e">
        <f>IF(②フルコスト分析シート!$B$2=0,"",VLOOKUP(②フルコスト分析シート!$B$2,⑫平成26年度!$C$6:$AQ$86,8,FALSE))</f>
        <v>#N/A</v>
      </c>
      <c r="E6" s="359" t="e">
        <f>IF(②フルコスト分析シート!$B$2=0,"",VLOOKUP(②フルコスト分析シート!$B$2,⑪平成27年度!$C$6:$AQ$86,8,FALSE))</f>
        <v>#N/A</v>
      </c>
      <c r="F6" s="360" t="e">
        <f>IF(②フルコスト分析シート!$B$2=0,"",VLOOKUP(②フルコスト分析シート!$B$2,⑩平成28年度!$C$6:$AQ$86,8,FALSE))</f>
        <v>#N/A</v>
      </c>
      <c r="G6" s="508" t="e">
        <f>IF(②フルコスト分析シート!$B$2=0,"",VLOOKUP(②フルコスト分析シート!$B$2,⑨平成29年度!$C$6:$AQ$86,8,FALSE))</f>
        <v>#N/A</v>
      </c>
      <c r="H6" s="359" t="e">
        <f>IF(②フルコスト分析シート!$B$2=0,"",VLOOKUP(②フルコスト分析シート!$B$2,⑧平成30年度!$C$6:$AQ$86,8,FALSE))</f>
        <v>#N/A</v>
      </c>
      <c r="I6" s="563" t="e">
        <f>IF(②フルコスト分析シート!$B$2=0,"",VLOOKUP(②フルコスト分析シート!$B$2,⑦令和元年度!$C$6:$AQ$86,8,FALSE))</f>
        <v>#N/A</v>
      </c>
      <c r="J6" s="32"/>
      <c r="K6" s="85" t="str">
        <f t="shared" ref="K6:K12" si="0">IFERROR(AVERAGEIF(D6:I6,"&lt;&gt;0"),"0")</f>
        <v>0</v>
      </c>
      <c r="L6" s="50"/>
      <c r="M6" s="32"/>
      <c r="N6" s="51">
        <f>②フルコスト分析シート!M7</f>
        <v>0</v>
      </c>
      <c r="O6" s="48">
        <f>②フルコスト分析シート!O7</f>
        <v>0</v>
      </c>
      <c r="P6" t="s">
        <v>85</v>
      </c>
      <c r="U6" s="62" t="str">
        <f>IF(②フルコスト分析シート!$Q$2=0,"",VLOOKUP(②フルコスト分析シート!$Q$2,⑧平成30年度!$C$6:$AQ$86,8,FALSE))</f>
        <v/>
      </c>
    </row>
    <row r="7" spans="2:21" ht="25.5" customHeight="1" x14ac:dyDescent="0.15">
      <c r="B7" s="688"/>
      <c r="C7" s="33" t="s">
        <v>2</v>
      </c>
      <c r="D7" s="141" t="e">
        <f>IF(②フルコスト分析シート!$B$2=0,"",VLOOKUP(②フルコスト分析シート!$B$2,⑫平成26年度!$C$6:$AQ$86,4,FALSE))</f>
        <v>#N/A</v>
      </c>
      <c r="E7" s="142" t="e">
        <f>IF(②フルコスト分析シート!$B$2=0,"",VLOOKUP(②フルコスト分析シート!$B$2,⑪平成27年度!$C$6:$AQ$86,4,FALSE))</f>
        <v>#N/A</v>
      </c>
      <c r="F7" s="164" t="e">
        <f>IF(②フルコスト分析シート!$B$2=0,"",VLOOKUP(②フルコスト分析シート!$B$2,⑩平成28年度!$C$6:$AQ$86,4,FALSE))</f>
        <v>#N/A</v>
      </c>
      <c r="G7" s="509" t="e">
        <f>IF(②フルコスト分析シート!$B$2=0,"",VLOOKUP(②フルコスト分析シート!$B$2,⑨平成29年度!$C$6:$AQ$86,4,FALSE))</f>
        <v>#N/A</v>
      </c>
      <c r="H7" s="142" t="e">
        <f>IF(②フルコスト分析シート!$B$2=0,"",VLOOKUP(②フルコスト分析シート!$B$2,⑧平成30年度!$C$6:$AQ$86,4,FALSE))</f>
        <v>#N/A</v>
      </c>
      <c r="I7" s="147" t="e">
        <f>IF(②フルコスト分析シート!$B$2=0,"",VLOOKUP(②フルコスト分析シート!$B$2,⑦令和元年度!$C$6:$AQ$86,4,FALSE))</f>
        <v>#N/A</v>
      </c>
      <c r="J7" s="32"/>
      <c r="K7" s="77" t="str">
        <f t="shared" si="0"/>
        <v>0</v>
      </c>
      <c r="L7" s="145"/>
      <c r="M7" s="32"/>
      <c r="N7" s="68" t="e">
        <f>⑭人にかかるコストの基礎データ!G25</f>
        <v>#N/A</v>
      </c>
      <c r="O7" s="69" t="e">
        <f>⑭人にかかるコストの基礎データ!H25</f>
        <v>#N/A</v>
      </c>
      <c r="P7" t="s">
        <v>588</v>
      </c>
      <c r="U7" s="81" t="str">
        <f>IF(②フルコスト分析シート!$Q$2=0,"",VLOOKUP(②フルコスト分析シート!$Q$2,⑧平成30年度!$C$6:$AQ$86,4,FALSE))</f>
        <v/>
      </c>
    </row>
    <row r="8" spans="2:21" ht="25.5" customHeight="1" x14ac:dyDescent="0.15">
      <c r="B8" s="688"/>
      <c r="C8" s="48" t="s">
        <v>3</v>
      </c>
      <c r="D8" s="143" t="e">
        <f>IF(②フルコスト分析シート!$B$2=0,"",VLOOKUP(②フルコスト分析シート!$B$2,⑫平成26年度!$C$6:$AQ$86,5,FALSE))</f>
        <v>#N/A</v>
      </c>
      <c r="E8" s="144" t="e">
        <f>IF(②フルコスト分析シート!$B$2=0,"",VLOOKUP(②フルコスト分析シート!$B$2,⑪平成27年度!$C$6:$AQ$86,5,FALSE))</f>
        <v>#N/A</v>
      </c>
      <c r="F8" s="165" t="e">
        <f>IF(②フルコスト分析シート!$B$2=0,"",VLOOKUP(②フルコスト分析シート!$B$2,⑩平成28年度!$C$6:$AQ$86,5,FALSE))</f>
        <v>#N/A</v>
      </c>
      <c r="G8" s="510" t="e">
        <f>IF(②フルコスト分析シート!$B$2=0,"",VLOOKUP(②フルコスト分析シート!$B$2,⑨平成29年度!$C$6:$AQ$86,5,FALSE))</f>
        <v>#N/A</v>
      </c>
      <c r="H8" s="144" t="e">
        <f>IF(②フルコスト分析シート!$B$2=0,"",VLOOKUP(②フルコスト分析シート!$B$2,⑧平成30年度!$C$6:$AQ$86,5,FALSE))</f>
        <v>#N/A</v>
      </c>
      <c r="I8" s="565" t="e">
        <f>IF(②フルコスト分析シート!$B$2=0,"",VLOOKUP(②フルコスト分析シート!$B$2,⑦令和元年度!$C$6:$AQ$86,5,FALSE))</f>
        <v>#N/A</v>
      </c>
      <c r="J8" s="32"/>
      <c r="K8" s="75" t="str">
        <f t="shared" si="0"/>
        <v>0</v>
      </c>
      <c r="L8" s="146" t="e">
        <f>IF(②フルコスト分析シート!$B$2=0,"",VLOOKUP(②フルコスト分析シート!$B$2,#REF!,2,FALSE))</f>
        <v>#REF!</v>
      </c>
      <c r="M8" s="32"/>
      <c r="N8" s="75" t="str">
        <f>IFERROR(N6*L8,"0")</f>
        <v>0</v>
      </c>
      <c r="O8" s="76" t="str">
        <f>IFERROR(O6*L8,"0")</f>
        <v>0</v>
      </c>
      <c r="P8" t="s">
        <v>589</v>
      </c>
      <c r="U8" s="82" t="str">
        <f>IF(②フルコスト分析シート!$Q$2=0,"",VLOOKUP(②フルコスト分析シート!$Q$2,⑧平成30年度!$C$6:$AQ$86,5,FALSE))</f>
        <v/>
      </c>
    </row>
    <row r="9" spans="2:21" ht="25.5" customHeight="1" x14ac:dyDescent="0.15">
      <c r="B9" s="688"/>
      <c r="C9" s="33" t="s">
        <v>4</v>
      </c>
      <c r="D9" s="141" t="e">
        <f>IF(②フルコスト分析シート!$B$2=0,"",VLOOKUP(②フルコスト分析シート!$B$2,⑫平成26年度!$C$6:$AQ$86,6,FALSE))</f>
        <v>#N/A</v>
      </c>
      <c r="E9" s="142" t="e">
        <f>IF(②フルコスト分析シート!$B$2=0,"",VLOOKUP(②フルコスト分析シート!$B$2,⑪平成27年度!$C$6:$AQ$86,6,FALSE))</f>
        <v>#N/A</v>
      </c>
      <c r="F9" s="164" t="e">
        <f>IF(②フルコスト分析シート!$B$2=0,"",VLOOKUP(②フルコスト分析シート!$B$2,⑩平成28年度!$C$6:$AQ$86,6,FALSE))</f>
        <v>#N/A</v>
      </c>
      <c r="G9" s="509" t="e">
        <f>IF(②フルコスト分析シート!$B$2=0,"",VLOOKUP(②フルコスト分析シート!$B$2,⑨平成29年度!$C$6:$AQ$86,6,FALSE))</f>
        <v>#N/A</v>
      </c>
      <c r="H9" s="142" t="e">
        <f>IF(②フルコスト分析シート!$B$2=0,"",VLOOKUP(②フルコスト分析シート!$B$2,⑧平成30年度!$C$6:$AQ$86,6,FALSE))</f>
        <v>#N/A</v>
      </c>
      <c r="I9" s="357" t="e">
        <f>IF(②フルコスト分析シート!$B$2=0,"",VLOOKUP(②フルコスト分析シート!$B$2,⑦令和元年度!$C$6:$AQ$86,6,FALSE))</f>
        <v>#N/A</v>
      </c>
      <c r="J9" s="32"/>
      <c r="K9" s="77" t="str">
        <f t="shared" si="0"/>
        <v>0</v>
      </c>
      <c r="L9" s="147" t="e">
        <f>IF(②フルコスト分析シート!$B$2=0,"",VLOOKUP(②フルコスト分析シート!$B$2,#REF!,3,FALSE))</f>
        <v>#REF!</v>
      </c>
      <c r="M9" s="32"/>
      <c r="N9" s="77" t="str">
        <f>IFERROR(N6*L9,"0")</f>
        <v>0</v>
      </c>
      <c r="O9" s="78" t="str">
        <f>IFERROR(O6*L9,"0")</f>
        <v>0</v>
      </c>
      <c r="P9" t="s">
        <v>589</v>
      </c>
      <c r="U9" s="81" t="str">
        <f>IF(②フルコスト分析シート!$Q$2=0,"",VLOOKUP(②フルコスト分析シート!$Q$2,⑧平成30年度!$C$6:$AQ$86,6,FALSE))</f>
        <v/>
      </c>
    </row>
    <row r="10" spans="2:21" ht="25.5" customHeight="1" x14ac:dyDescent="0.15">
      <c r="B10" s="688"/>
      <c r="C10" s="52" t="s">
        <v>469</v>
      </c>
      <c r="D10" s="70" t="e">
        <f>SUMIF(D8:D9,"&lt;&gt;""",D8:D9)</f>
        <v>#N/A</v>
      </c>
      <c r="E10" s="144" t="e">
        <f t="shared" ref="E10:G10" si="1">SUMIF(E8:E9,"&lt;&gt;""",E8:E9)</f>
        <v>#N/A</v>
      </c>
      <c r="F10" s="144" t="e">
        <f t="shared" si="1"/>
        <v>#N/A</v>
      </c>
      <c r="G10" s="511" t="e">
        <f t="shared" si="1"/>
        <v>#N/A</v>
      </c>
      <c r="H10" s="566" t="e">
        <f t="shared" ref="H10" si="2">SUMIF(H8:H9,"&lt;&gt;""",H8:H9)</f>
        <v>#N/A</v>
      </c>
      <c r="I10" s="146" t="e">
        <f t="shared" ref="I10" si="3">SUMIF(I8:I9,"&lt;&gt;""",I8:I9)</f>
        <v>#N/A</v>
      </c>
      <c r="J10" s="32"/>
      <c r="K10" s="75" t="str">
        <f t="shared" si="0"/>
        <v>0</v>
      </c>
      <c r="L10" s="396"/>
      <c r="M10" s="32"/>
      <c r="N10" s="480">
        <f>SUMIF(N8:N9,"&lt;&gt;""",N8:N9)</f>
        <v>0</v>
      </c>
      <c r="O10" s="370">
        <f t="shared" ref="O10" si="4">SUMIF(O8:O9,"&lt;&gt;""",O8:O9)</f>
        <v>0</v>
      </c>
      <c r="U10" s="479">
        <f t="shared" ref="U10" si="5">SUMIF(U8:U9,"&lt;&gt;""",U8:U9)</f>
        <v>0</v>
      </c>
    </row>
    <row r="11" spans="2:21" ht="25.5" customHeight="1" thickBot="1" x14ac:dyDescent="0.2">
      <c r="B11" s="688"/>
      <c r="C11" s="65" t="s">
        <v>5</v>
      </c>
      <c r="D11" s="373" t="e">
        <f>IF(②フルコスト分析シート!$B$2=0,"",VLOOKUP(②フルコスト分析シート!$B$2,⑫平成26年度!$C$6:$AQ$86,7,FALSE))</f>
        <v>#N/A</v>
      </c>
      <c r="E11" s="374" t="e">
        <f>IF(②フルコスト分析シート!$B$2=0,"",VLOOKUP(②フルコスト分析シート!$B$2,⑪平成27年度!$C$6:$AQ$86,7,FALSE))</f>
        <v>#N/A</v>
      </c>
      <c r="F11" s="375" t="e">
        <f>IF(②フルコスト分析シート!$B$2=0,"",VLOOKUP(②フルコスト分析シート!$B$2,⑩平成28年度!$C$6:$AQ$86,7,FALSE))</f>
        <v>#N/A</v>
      </c>
      <c r="G11" s="512" t="e">
        <f>IF(②フルコスト分析シート!$B$2=0,"",VLOOKUP(②フルコスト分析シート!$B$2,⑨平成29年度!$C$6:$AQ$86,7,FALSE))</f>
        <v>#N/A</v>
      </c>
      <c r="H11" s="374" t="e">
        <f>IF(②フルコスト分析シート!$B$2=0,"",VLOOKUP(②フルコスト分析シート!$B$2,⑧平成30年度!$C$6:$AQ$86,7,FALSE))</f>
        <v>#N/A</v>
      </c>
      <c r="I11" s="65" t="e">
        <f>IF(②フルコスト分析シート!$B$2=0,"",VLOOKUP(②フルコスト分析シート!$B$2,⑦令和元年度!$C$6:$AQ$86,7,FALSE))</f>
        <v>#N/A</v>
      </c>
      <c r="J11" s="32"/>
      <c r="K11" s="376" t="str">
        <f t="shared" si="0"/>
        <v>0</v>
      </c>
      <c r="L11" s="377"/>
      <c r="M11" s="32"/>
      <c r="N11" s="356">
        <f>②フルコスト分析シート!M13*1000</f>
        <v>0</v>
      </c>
      <c r="O11" s="357">
        <f>②フルコスト分析シート!O13*1000</f>
        <v>0</v>
      </c>
      <c r="P11" t="s">
        <v>85</v>
      </c>
      <c r="U11" s="83" t="str">
        <f>IF(②フルコスト分析シート!$Q$2=0,"",VLOOKUP(②フルコスト分析シート!$Q$2,⑧平成30年度!$C$6:$AQ$86,7,FALSE))</f>
        <v/>
      </c>
    </row>
    <row r="12" spans="2:21" ht="25.5" customHeight="1" thickTop="1" thickBot="1" x14ac:dyDescent="0.2">
      <c r="B12" s="689"/>
      <c r="C12" s="55" t="s">
        <v>43</v>
      </c>
      <c r="D12" s="151" t="e">
        <f>IF(②フルコスト分析シート!$B$2=0,"",VLOOKUP(②フルコスト分析シート!$B$2,⑫平成26年度!$C$6:$AQ$86,9,FALSE))</f>
        <v>#N/A</v>
      </c>
      <c r="E12" s="152" t="e">
        <f>IF(②フルコスト分析シート!$B$2=0,"",VLOOKUP(②フルコスト分析シート!$B$2,⑪平成27年度!$C$6:$AQ$86,9,FALSE))</f>
        <v>#N/A</v>
      </c>
      <c r="F12" s="168" t="e">
        <f>IF(②フルコスト分析シート!$B$2=0,"",VLOOKUP(②フルコスト分析シート!$B$2,⑩平成28年度!$C$6:$AQ$86,9,FALSE))</f>
        <v>#N/A</v>
      </c>
      <c r="G12" s="513" t="e">
        <f>IF(②フルコスト分析シート!$B$2=0,"",VLOOKUP(②フルコスト分析シート!$B$2,⑨平成29年度!$C$6:$AQ$86,9,FALSE))</f>
        <v>#N/A</v>
      </c>
      <c r="H12" s="152" t="e">
        <f>IF(②フルコスト分析シート!$B$2=0,"",VLOOKUP(②フルコスト分析シート!$B$2,⑧平成30年度!$C$6:$AQ$86,9,FALSE))</f>
        <v>#N/A</v>
      </c>
      <c r="I12" s="372" t="e">
        <f>IF(②フルコスト分析シート!$B$2=0,"",VLOOKUP(②フルコスト分析シート!$B$2,⑦令和元年度!$C$6:$AQ$86,9,FALSE))</f>
        <v>#N/A</v>
      </c>
      <c r="J12" s="61"/>
      <c r="K12" s="153" t="str">
        <f t="shared" si="0"/>
        <v>0</v>
      </c>
      <c r="L12" s="56"/>
      <c r="M12" s="32"/>
      <c r="N12" s="371" t="e">
        <f>SUM(N7:N9,N11)</f>
        <v>#N/A</v>
      </c>
      <c r="O12" s="372" t="e">
        <f>SUM(O7:O9,O11)</f>
        <v>#N/A</v>
      </c>
      <c r="P12" t="s">
        <v>42</v>
      </c>
      <c r="U12" s="84" t="str">
        <f>IF(②フルコスト分析シート!$Q$2=0,"",VLOOKUP(②フルコスト分析シート!$Q$2,⑧平成30年度!$C$6:$AQ$86,9,FALSE))</f>
        <v/>
      </c>
    </row>
    <row r="13" spans="2:21" ht="15" customHeight="1" thickBot="1" x14ac:dyDescent="0.2">
      <c r="J13" s="7"/>
      <c r="L13" s="31" t="s">
        <v>76</v>
      </c>
      <c r="N13" s="31"/>
      <c r="O13" s="31" t="s">
        <v>76</v>
      </c>
      <c r="U13" s="31" t="s">
        <v>76</v>
      </c>
    </row>
    <row r="14" spans="2:21" ht="25.5" customHeight="1" x14ac:dyDescent="0.15">
      <c r="B14" s="690" t="s">
        <v>78</v>
      </c>
      <c r="C14" s="42" t="s">
        <v>1</v>
      </c>
      <c r="D14" s="384" t="e">
        <f>IF(②フルコスト分析シート!$B$2=0,"",VLOOKUP(②フルコスト分析シート!$B$2,⑫平成26年度!$C$6:$AQ$86,19,FALSE))</f>
        <v>#N/A</v>
      </c>
      <c r="E14" s="385" t="e">
        <f>IF(②フルコスト分析シート!$B$2=0,"",VLOOKUP(②フルコスト分析シート!$B$2,⑪平成27年度!$C$6:$AQ$86,19,FALSE))</f>
        <v>#N/A</v>
      </c>
      <c r="F14" s="386" t="e">
        <f>IF(②フルコスト分析シート!$B$2=0,"",VLOOKUP(②フルコスト分析シート!$B$2,⑩平成28年度!$C$6:$AQ$86,19,FALSE))</f>
        <v>#N/A</v>
      </c>
      <c r="G14" s="514" t="e">
        <f>IF(②フルコスト分析シート!$B$2=0,"",VLOOKUP(②フルコスト分析シート!$B$2,⑨平成29年度!$C$6:$AQ$86,19,FALSE))</f>
        <v>#N/A</v>
      </c>
      <c r="H14" s="385" t="e">
        <f>IF(②フルコスト分析シート!$B$2=0,"",VLOOKUP(②フルコスト分析シート!$B$2,⑧平成30年度!$C$6:$AQ$86,19,FALSE))</f>
        <v>#N/A</v>
      </c>
      <c r="I14" s="567" t="e">
        <f>IF(②フルコスト分析シート!$B$2=0,"",VLOOKUP(②フルコスト分析シート!$B$2,⑦令和元年度!$C$6:$AQ$86,19,FALSE))</f>
        <v>#N/A</v>
      </c>
      <c r="J14" s="38"/>
      <c r="K14" s="387" t="str">
        <f t="shared" ref="K14:K21" si="6">IFERROR(AVERAGEIF(D14:I14,"&lt;&gt;0"),"0")</f>
        <v>0</v>
      </c>
      <c r="L14" s="388"/>
      <c r="M14" s="38"/>
      <c r="N14" s="41">
        <f>②フルコスト分析シート!M8</f>
        <v>0</v>
      </c>
      <c r="O14" s="42">
        <f>②フルコスト分析シート!O8</f>
        <v>0</v>
      </c>
      <c r="P14" s="6" t="s">
        <v>85</v>
      </c>
      <c r="Q14" s="6"/>
      <c r="R14" s="6"/>
      <c r="S14" s="6"/>
      <c r="T14" s="6"/>
      <c r="U14" s="389" t="str">
        <f>IF(②フルコスト分析シート!$Q$2=0,"",VLOOKUP(②フルコスト分析シート!$Q$2,⑧平成30年度!$C$6:$AQ$86,19,FALSE))</f>
        <v/>
      </c>
    </row>
    <row r="15" spans="2:21" ht="25.5" customHeight="1" x14ac:dyDescent="0.15">
      <c r="B15" s="688"/>
      <c r="C15" s="48" t="s">
        <v>6</v>
      </c>
      <c r="D15" s="143" t="e">
        <f>IF(②フルコスト分析シート!$B$2=0,"",VLOOKUP(②フルコスト分析シート!$B$2,⑫平成26年度!$C$6:$AQ$86,14,FALSE))</f>
        <v>#N/A</v>
      </c>
      <c r="E15" s="144" t="e">
        <f>IF(②フルコスト分析シート!$B$2=0,"",VLOOKUP(②フルコスト分析シート!$B$2,⑪平成27年度!$C$6:$AQ$86,14,FALSE))</f>
        <v>#N/A</v>
      </c>
      <c r="F15" s="165" t="e">
        <f>IF(②フルコスト分析シート!$B$2=0,"",VLOOKUP(②フルコスト分析シート!$B$2,⑩平成28年度!$C$6:$AQ$86,14,FALSE))</f>
        <v>#N/A</v>
      </c>
      <c r="G15" s="510" t="e">
        <f>IF(②フルコスト分析シート!$B$2=0,"",VLOOKUP(②フルコスト分析シート!$B$2,⑨平成29年度!$C$6:$AQ$86,14,FALSE))</f>
        <v>#N/A</v>
      </c>
      <c r="H15" s="144" t="e">
        <f>IF(②フルコスト分析シート!$B$2=0,"",VLOOKUP(②フルコスト分析シート!$B$2,⑧平成30年度!$C$6:$AQ$86,14,FALSE))</f>
        <v>#N/A</v>
      </c>
      <c r="I15" s="370" t="e">
        <f>IF(②フルコスト分析シート!$B$2=0,"",VLOOKUP(②フルコスト分析シート!$B$2,⑦令和元年度!$C$6:$AQ$86,14,FALSE))</f>
        <v>#N/A</v>
      </c>
      <c r="J15" s="38"/>
      <c r="K15" s="150" t="str">
        <f t="shared" si="6"/>
        <v>0</v>
      </c>
      <c r="L15" s="146" t="e">
        <f>IF(②フルコスト分析シート!$B$2=0,"",VLOOKUP(②フルコスト分析シート!$B$2,#REF!,4,FALSE))</f>
        <v>#REF!</v>
      </c>
      <c r="M15" s="38"/>
      <c r="N15" s="79" t="str">
        <f>IFERROR(L15*N$14,"0")</f>
        <v>0</v>
      </c>
      <c r="O15" s="80" t="str">
        <f>IFERROR(L15*O$14,"0")</f>
        <v>0</v>
      </c>
      <c r="P15" s="6" t="s">
        <v>589</v>
      </c>
      <c r="Q15" s="6"/>
      <c r="R15" s="6"/>
      <c r="S15" s="6"/>
      <c r="T15" s="6"/>
      <c r="U15" s="82" t="str">
        <f>IF(②フルコスト分析シート!$Q$2=0,"",VLOOKUP(②フルコスト分析シート!$Q$2,⑧平成30年度!$C$6:$AQ$86,14,FALSE))</f>
        <v/>
      </c>
    </row>
    <row r="16" spans="2:21" ht="25.5" customHeight="1" x14ac:dyDescent="0.15">
      <c r="B16" s="688"/>
      <c r="C16" s="64" t="s">
        <v>7</v>
      </c>
      <c r="D16" s="141" t="e">
        <f>IF(②フルコスト分析シート!$B$2=0,"",VLOOKUP(②フルコスト分析シート!$B$2,⑫平成26年度!$C$6:$AQ$86,15,FALSE))</f>
        <v>#N/A</v>
      </c>
      <c r="E16" s="142" t="e">
        <f>IF(②フルコスト分析シート!$B$2=0,"",VLOOKUP(②フルコスト分析シート!$B$2,⑪平成27年度!$C$6:$AQ$86,15,FALSE))</f>
        <v>#N/A</v>
      </c>
      <c r="F16" s="164" t="e">
        <f>IF(②フルコスト分析シート!$B$2=0,"",VLOOKUP(②フルコスト分析シート!$B$2,⑩平成28年度!$C$6:$AQ$86,15,FALSE))</f>
        <v>#N/A</v>
      </c>
      <c r="G16" s="509" t="e">
        <f>IF(②フルコスト分析シート!$B$2=0,"",VLOOKUP(②フルコスト分析シート!$B$2,⑨平成29年度!$C$6:$AQ$86,15,FALSE))</f>
        <v>#N/A</v>
      </c>
      <c r="H16" s="142" t="e">
        <f>IF(②フルコスト分析シート!$B$2=0,"",VLOOKUP(②フルコスト分析シート!$B$2,⑧平成30年度!$C$6:$AQ$86,15,FALSE))</f>
        <v>#N/A</v>
      </c>
      <c r="I16" s="568" t="e">
        <f>IF(②フルコスト分析シート!$B$2=0,"",VLOOKUP(②フルコスト分析シート!$B$2,⑦令和元年度!$C$6:$AQ$86,15,FALSE))</f>
        <v>#N/A</v>
      </c>
      <c r="J16" s="38"/>
      <c r="K16" s="390" t="str">
        <f t="shared" si="6"/>
        <v>0</v>
      </c>
      <c r="L16" s="147" t="e">
        <f>IF(②フルコスト分析シート!$B$2=0,"",VLOOKUP(②フルコスト分析シート!$B$2,#REF!,5,FALSE))</f>
        <v>#REF!</v>
      </c>
      <c r="M16" s="38"/>
      <c r="N16" s="391" t="str">
        <f>IFERROR(L16*N$14,"0")</f>
        <v>0</v>
      </c>
      <c r="O16" s="392" t="str">
        <f>IFERROR(L16*O$14,"0")</f>
        <v>0</v>
      </c>
      <c r="P16" s="6" t="s">
        <v>589</v>
      </c>
      <c r="Q16" s="6"/>
      <c r="R16" s="6"/>
      <c r="S16" s="6"/>
      <c r="T16" s="6"/>
      <c r="U16" s="81" t="str">
        <f>IF(②フルコスト分析シート!$Q$2=0,"",VLOOKUP(②フルコスト分析シート!$Q$2,⑧平成30年度!$C$6:$AQ$86,15,FALSE))</f>
        <v/>
      </c>
    </row>
    <row r="17" spans="2:21" ht="25.5" customHeight="1" x14ac:dyDescent="0.15">
      <c r="B17" s="688"/>
      <c r="C17" s="48" t="s">
        <v>471</v>
      </c>
      <c r="D17" s="143" t="e">
        <f>SUMIF(D15:D16,"&lt;&gt;""",D15:D16)</f>
        <v>#N/A</v>
      </c>
      <c r="E17" s="144" t="e">
        <f t="shared" ref="E17:G17" si="7">SUMIF(E15:E16,"&lt;&gt;""",E15:E16)</f>
        <v>#N/A</v>
      </c>
      <c r="F17" s="144" t="e">
        <f t="shared" si="7"/>
        <v>#N/A</v>
      </c>
      <c r="G17" s="165" t="e">
        <f t="shared" si="7"/>
        <v>#N/A</v>
      </c>
      <c r="H17" s="144" t="e">
        <f t="shared" ref="H17:I17" si="8">SUMIF(H15:H16,"&lt;&gt;""",H15:H16)</f>
        <v>#N/A</v>
      </c>
      <c r="I17" s="565" t="e">
        <f t="shared" si="8"/>
        <v>#N/A</v>
      </c>
      <c r="J17" s="38"/>
      <c r="K17" s="150" t="str">
        <f t="shared" si="6"/>
        <v>0</v>
      </c>
      <c r="L17" s="396"/>
      <c r="M17" s="38"/>
      <c r="N17" s="480">
        <f>SUMIF(N15:N16,"&lt;&gt;""",N15:N16)</f>
        <v>0</v>
      </c>
      <c r="O17" s="399">
        <f t="shared" ref="O17" si="9">SUMIF(O15:O16,"&lt;&gt;""",O15:O16)</f>
        <v>0</v>
      </c>
      <c r="P17" s="6"/>
      <c r="Q17" s="6"/>
      <c r="R17" s="6"/>
      <c r="S17" s="6"/>
      <c r="T17" s="6"/>
      <c r="U17" s="481">
        <f>SUMIF(U15:U16,"&lt;&gt;""",U15:U16)</f>
        <v>0</v>
      </c>
    </row>
    <row r="18" spans="2:21" ht="25.5" customHeight="1" x14ac:dyDescent="0.15">
      <c r="B18" s="688"/>
      <c r="C18" s="64" t="s">
        <v>8</v>
      </c>
      <c r="D18" s="141" t="e">
        <f>IF(②フルコスト分析シート!$B$2=0,"",VLOOKUP(②フルコスト分析シート!$B$2,⑫平成26年度!$C$6:$AQ$86,16,FALSE))</f>
        <v>#N/A</v>
      </c>
      <c r="E18" s="142" t="e">
        <f>IF(②フルコスト分析シート!$B$2=0,"",VLOOKUP(②フルコスト分析シート!$B$2,⑪平成27年度!$C$6:$AQ$86,16,FALSE))</f>
        <v>#N/A</v>
      </c>
      <c r="F18" s="164" t="e">
        <f>IF(②フルコスト分析シート!$B$2=0,"",VLOOKUP(②フルコスト分析シート!$B$2,⑩平成28年度!$C$6:$AQ$86,16,FALSE))</f>
        <v>#N/A</v>
      </c>
      <c r="G18" s="509" t="e">
        <f>IF(②フルコスト分析シート!$B$2=0,"",VLOOKUP(②フルコスト分析シート!$B$2,⑨平成29年度!$C$6:$AQ$86,16,FALSE))</f>
        <v>#N/A</v>
      </c>
      <c r="H18" s="142" t="e">
        <f>IF(②フルコスト分析シート!$B$2=0,"",VLOOKUP(②フルコスト分析シート!$B$2,⑧平成30年度!$C$6:$AQ$86,16,FALSE))</f>
        <v>#N/A</v>
      </c>
      <c r="I18" s="568" t="e">
        <f>IF(②フルコスト分析シート!$B$2=0,"",VLOOKUP(②フルコスト分析シート!$B$2,⑦令和元年度!$C$6:$AQ$86,16,FALSE))</f>
        <v>#N/A</v>
      </c>
      <c r="J18" s="38"/>
      <c r="K18" s="390" t="str">
        <f t="shared" si="6"/>
        <v>0</v>
      </c>
      <c r="L18" s="147" t="e">
        <f>IF(②フルコスト分析シート!$B$2=0,"",VLOOKUP(②フルコスト分析シート!$B$2,#REF!,6,FALSE))</f>
        <v>#REF!</v>
      </c>
      <c r="M18" s="38"/>
      <c r="N18" s="391" t="str">
        <f>IFERROR(L18*N$14,"0")</f>
        <v>0</v>
      </c>
      <c r="O18" s="392" t="str">
        <f>IFERROR(L18*O$14,"0")</f>
        <v>0</v>
      </c>
      <c r="P18" s="6" t="s">
        <v>589</v>
      </c>
      <c r="Q18" s="6"/>
      <c r="R18" s="6"/>
      <c r="S18" s="6"/>
      <c r="T18" s="6"/>
      <c r="U18" s="81" t="str">
        <f>IF(②フルコスト分析シート!$Q$2=0,"",VLOOKUP(②フルコスト分析シート!$Q$2,⑧平成30年度!$C$6:$AQ$86,16,FALSE))</f>
        <v/>
      </c>
    </row>
    <row r="19" spans="2:21" ht="25.5" customHeight="1" x14ac:dyDescent="0.15">
      <c r="B19" s="688"/>
      <c r="C19" s="48" t="s">
        <v>573</v>
      </c>
      <c r="D19" s="143" t="e">
        <f>IF(②フルコスト分析シート!$B$2=0,"",VLOOKUP(②フルコスト分析シート!$B$2,⑫平成26年度!$C$6:$AQ$86,17,FALSE))</f>
        <v>#N/A</v>
      </c>
      <c r="E19" s="144" t="e">
        <f>IF(②フルコスト分析シート!$B$2=0,"",VLOOKUP(②フルコスト分析シート!$B$2,⑪平成27年度!$C$6:$AQ$86,17,FALSE))</f>
        <v>#N/A</v>
      </c>
      <c r="F19" s="165" t="e">
        <f>IF(②フルコスト分析シート!$B$2=0,"",VLOOKUP(②フルコスト分析シート!$B$2,⑩平成28年度!$C$6:$AQ$86,17,FALSE))</f>
        <v>#N/A</v>
      </c>
      <c r="G19" s="510" t="e">
        <f>IF(②フルコスト分析シート!$B$2=0,"",VLOOKUP(②フルコスト分析シート!$B$2,⑨平成29年度!$C$6:$AQ$86,17,FALSE))</f>
        <v>#N/A</v>
      </c>
      <c r="H19" s="144" t="e">
        <f>IF(②フルコスト分析シート!$B$2=0,"",VLOOKUP(②フルコスト分析シート!$B$2,⑧平成30年度!$C$6:$AQ$86,17,FALSE))</f>
        <v>#N/A</v>
      </c>
      <c r="I19" s="399" t="e">
        <f>IF(②フルコスト分析シート!$B$2=0,"",VLOOKUP(②フルコスト分析シート!$B$2,⑦令和元年度!$C$6:$AQ$86,17,FALSE))</f>
        <v>#N/A</v>
      </c>
      <c r="J19" s="38"/>
      <c r="K19" s="150" t="str">
        <f t="shared" si="6"/>
        <v>0</v>
      </c>
      <c r="L19" s="146" t="e">
        <f>IF(②フルコスト分析シート!$B$2=0,"",VLOOKUP(②フルコスト分析シート!$B$2,#REF!,7,FALSE))</f>
        <v>#REF!</v>
      </c>
      <c r="M19" s="38"/>
      <c r="N19" s="79" t="str">
        <f>IFERROR(L19*N$14,"0")</f>
        <v>0</v>
      </c>
      <c r="O19" s="80" t="str">
        <f>IFERROR(L19*O$14,"0")</f>
        <v>0</v>
      </c>
      <c r="P19" s="6" t="s">
        <v>589</v>
      </c>
      <c r="Q19" s="6"/>
      <c r="R19" s="6"/>
      <c r="S19" s="6"/>
      <c r="T19" s="6"/>
      <c r="U19" s="82" t="str">
        <f>IF(②フルコスト分析シート!$Q$2=0,"",VLOOKUP(②フルコスト分析シート!$Q$2,⑧平成30年度!$C$6:$AQ$86,17,FALSE))</f>
        <v/>
      </c>
    </row>
    <row r="20" spans="2:21" ht="25.5" customHeight="1" thickBot="1" x14ac:dyDescent="0.2">
      <c r="B20" s="688"/>
      <c r="C20" s="65" t="s">
        <v>128</v>
      </c>
      <c r="D20" s="148" t="e">
        <f>IF(②フルコスト分析シート!$B$2=0,"",VLOOKUP(②フルコスト分析シート!$B$2,⑫平成26年度!$C$6:$AQ$86,18,FALSE))</f>
        <v>#N/A</v>
      </c>
      <c r="E20" s="149" t="e">
        <f>IF(②フルコスト分析シート!$B$2=0,"",VLOOKUP(②フルコスト分析シート!$B$2,⑪平成27年度!$C$6:$AQ$86,18,FALSE))</f>
        <v>#N/A</v>
      </c>
      <c r="F20" s="167" t="e">
        <f>IF(②フルコスト分析シート!$B$2=0,"",VLOOKUP(②フルコスト分析シート!$B$2,⑩平成28年度!$C$6:$AQ$86,18,FALSE))</f>
        <v>#N/A</v>
      </c>
      <c r="G20" s="515" t="e">
        <f>IF(②フルコスト分析シート!$B$2=0,"",VLOOKUP(②フルコスト分析シート!$B$2,⑨平成29年度!$C$6:$AQ$86,18,FALSE))</f>
        <v>#N/A</v>
      </c>
      <c r="H20" s="149" t="e">
        <f>IF(②フルコスト分析シート!$B$2=0,"",VLOOKUP(②フルコスト分析シート!$B$2,⑧平成30年度!$C$6:$AQ$86,18,FALSE))</f>
        <v>#N/A</v>
      </c>
      <c r="I20" s="564" t="e">
        <f>IF(②フルコスト分析シート!$B$2=0,"",VLOOKUP(②フルコスト分析シート!$B$2,⑦令和元年度!$C$6:$AQ$86,18,FALSE))</f>
        <v>#N/A</v>
      </c>
      <c r="J20" s="38"/>
      <c r="K20" s="393" t="str">
        <f t="shared" si="6"/>
        <v>0</v>
      </c>
      <c r="L20" s="147" t="e">
        <f>IF(②フルコスト分析シート!$B$2=0,"",VLOOKUP(②フルコスト分析シート!$B$2,#REF!,8,FALSE))</f>
        <v>#REF!</v>
      </c>
      <c r="M20" s="38"/>
      <c r="N20" s="394" t="str">
        <f>IFERROR(L20*N$14,"0")</f>
        <v>0</v>
      </c>
      <c r="O20" s="395" t="str">
        <f>IFERROR(L20*O$14,"0")</f>
        <v>0</v>
      </c>
      <c r="P20" s="6" t="s">
        <v>589</v>
      </c>
      <c r="Q20" s="6"/>
      <c r="R20" s="6"/>
      <c r="S20" s="6"/>
      <c r="T20" s="6"/>
      <c r="U20" s="83" t="str">
        <f>IF(②フルコスト分析シート!$Q$2=0,"",VLOOKUP(②フルコスト分析シート!$Q$2,⑧平成30年度!$C$6:$AQ$86,18,FALSE))</f>
        <v/>
      </c>
    </row>
    <row r="21" spans="2:21" ht="25.5" customHeight="1" thickTop="1" thickBot="1" x14ac:dyDescent="0.2">
      <c r="B21" s="689"/>
      <c r="C21" s="54" t="s">
        <v>44</v>
      </c>
      <c r="D21" s="151" t="e">
        <f>IF(②フルコスト分析シート!$B$2=0,"",VLOOKUP(②フルコスト分析シート!$B$2,⑫平成26年度!$C$6:$AQ$86,20,FALSE))</f>
        <v>#N/A</v>
      </c>
      <c r="E21" s="152" t="e">
        <f>IF(②フルコスト分析シート!$B$2=0,"",VLOOKUP(②フルコスト分析シート!$B$2,⑪平成27年度!$C$6:$AQ$86,20,FALSE))</f>
        <v>#N/A</v>
      </c>
      <c r="F21" s="168" t="e">
        <f>IF(②フルコスト分析シート!$B$2=0,"",VLOOKUP(②フルコスト分析シート!$B$2,⑩平成28年度!$C$6:$AQ$86,20,FALSE))</f>
        <v>#N/A</v>
      </c>
      <c r="G21" s="513" t="e">
        <f>IF(②フルコスト分析シート!$B$2=0,"",VLOOKUP(②フルコスト分析シート!$B$2,⑨平成29年度!$C$6:$AQ$86,20,FALSE))</f>
        <v>#N/A</v>
      </c>
      <c r="H21" s="152" t="e">
        <f>IF(②フルコスト分析シート!$B$2=0,"",VLOOKUP(②フルコスト分析シート!$B$2,⑧平成30年度!$C$6:$AQ$86,20,FALSE))</f>
        <v>#N/A</v>
      </c>
      <c r="I21" s="372" t="e">
        <f>IF(②フルコスト分析シート!$B$2=0,"",VLOOKUP(②フルコスト分析シート!$B$2,⑦令和元年度!$C$6:$AQ$86,20,FALSE))</f>
        <v>#N/A</v>
      </c>
      <c r="J21" s="101"/>
      <c r="K21" s="153" t="str">
        <f t="shared" si="6"/>
        <v>0</v>
      </c>
      <c r="L21" s="56"/>
      <c r="M21" s="38"/>
      <c r="N21" s="57">
        <f>SUM(N15:N16,N18:N20)</f>
        <v>0</v>
      </c>
      <c r="O21" s="55">
        <f>SUM(O15:O16,O18:O20)</f>
        <v>0</v>
      </c>
      <c r="P21" s="6" t="s">
        <v>42</v>
      </c>
      <c r="Q21" s="6"/>
      <c r="R21" s="6"/>
      <c r="S21" s="6"/>
      <c r="T21" s="6"/>
      <c r="U21" s="84" t="str">
        <f>IF(②フルコスト分析シート!$Q$2=0,"",VLOOKUP(②フルコスト分析シート!$Q$2,⑧平成30年度!$C$6:$AQ$86,20,FALSE))</f>
        <v/>
      </c>
    </row>
    <row r="22" spans="2:21" ht="15" customHeight="1" thickBot="1" x14ac:dyDescent="0.2">
      <c r="J22" s="7"/>
      <c r="K22" s="31" t="s">
        <v>81</v>
      </c>
      <c r="M22" s="7"/>
      <c r="N22" s="31"/>
      <c r="O22" s="31" t="s">
        <v>81</v>
      </c>
      <c r="P22" s="46"/>
      <c r="Q22" s="46"/>
      <c r="R22" s="46"/>
      <c r="S22" s="46"/>
      <c r="T22" s="46"/>
      <c r="U22" s="31" t="s">
        <v>81</v>
      </c>
    </row>
    <row r="23" spans="2:21" ht="25.5" customHeight="1" x14ac:dyDescent="0.15">
      <c r="B23" s="710" t="s">
        <v>79</v>
      </c>
      <c r="C23" s="711"/>
      <c r="D23" s="99" t="e">
        <f>IF(②フルコスト分析シート!$B$2=0,"",VLOOKUP(②フルコスト分析シート!$B$2,⑫平成26年度!$C$6:$AQ$86,21,FALSE))</f>
        <v>#N/A</v>
      </c>
      <c r="E23" s="100" t="e">
        <f>IF(②フルコスト分析シート!$B$2=0,"",VLOOKUP(②フルコスト分析シート!$B$2,⑪平成27年度!$C$6:$AQ$86,21,FALSE))</f>
        <v>#N/A</v>
      </c>
      <c r="F23" s="170" t="e">
        <f>IF(②フルコスト分析シート!$B$2=0,"",VLOOKUP(②フルコスト分析シート!$B$2,⑩平成28年度!$C$6:$AQ$86,21,FALSE))</f>
        <v>#N/A</v>
      </c>
      <c r="G23" s="516" t="e">
        <f>IF(②フルコスト分析シート!$B$2=0,"",VLOOKUP(②フルコスト分析シート!$B$2,⑨平成29年度!$C$6:$AQ$86,21,FALSE))</f>
        <v>#N/A</v>
      </c>
      <c r="H23" s="100" t="e">
        <f>IF(②フルコスト分析シート!$B$2=0,"",VLOOKUP(②フルコスト分析シート!$B$2,⑧平成30年度!$C$6:$AQ$86,21,FALSE))</f>
        <v>#N/A</v>
      </c>
      <c r="I23" s="569" t="e">
        <f>IF(②フルコスト分析シート!$B$2=0,"",VLOOKUP(②フルコスト分析シート!$B$2,⑦令和元年度!$C$6:$AQ$86,21,FALSE))</f>
        <v>#N/A</v>
      </c>
      <c r="J23" s="101"/>
      <c r="K23" s="102" t="str">
        <f>IFERROR(AVERAGEIF(D23:I23,"&lt;&gt;0"),"0")</f>
        <v>0</v>
      </c>
      <c r="L23" s="38"/>
      <c r="M23" s="38"/>
      <c r="N23" s="400" t="e">
        <f>SUM(N12,N21)</f>
        <v>#N/A</v>
      </c>
      <c r="O23" s="597" t="e">
        <f>SUM(O12,O21)</f>
        <v>#N/A</v>
      </c>
      <c r="P23" s="6" t="s">
        <v>60</v>
      </c>
      <c r="Q23" s="6"/>
      <c r="R23" s="6"/>
      <c r="S23" s="6"/>
      <c r="T23" s="6"/>
      <c r="U23" s="97" t="str">
        <f>IF(②フルコスト分析シート!$Q$2=0,"",VLOOKUP(②フルコスト分析シート!$Q$2,⑧平成30年度!$C$6:$AQ$86,21,FALSE))</f>
        <v/>
      </c>
    </row>
    <row r="24" spans="2:21" ht="25.5" customHeight="1" x14ac:dyDescent="0.15">
      <c r="B24" s="695" t="s">
        <v>470</v>
      </c>
      <c r="C24" s="696"/>
      <c r="D24" s="442" t="str">
        <f>IFERROR(D6+D14,"")</f>
        <v/>
      </c>
      <c r="E24" s="144" t="str">
        <f t="shared" ref="E24:G24" si="10">IFERROR(E6+E14,"")</f>
        <v/>
      </c>
      <c r="F24" s="144" t="str">
        <f t="shared" si="10"/>
        <v/>
      </c>
      <c r="G24" s="507" t="str">
        <f t="shared" si="10"/>
        <v/>
      </c>
      <c r="H24" s="571" t="str">
        <f>IFERROR(H6+H14,"")</f>
        <v/>
      </c>
      <c r="I24" s="370" t="str">
        <f>IFERROR(I6+I14,"")</f>
        <v/>
      </c>
      <c r="J24" s="101"/>
      <c r="K24" s="443" t="str">
        <f>IFERROR(AVERAGEIF(D24:I24,"&lt;&gt;0"),"0")</f>
        <v>0</v>
      </c>
      <c r="L24" s="38"/>
      <c r="M24" s="38"/>
      <c r="N24" s="51">
        <f>N6+N14</f>
        <v>0</v>
      </c>
      <c r="O24" s="48">
        <f>O6+O14</f>
        <v>0</v>
      </c>
      <c r="P24" s="6"/>
      <c r="Q24" s="6"/>
      <c r="R24" s="6"/>
      <c r="S24" s="6"/>
      <c r="T24" s="6"/>
      <c r="U24" s="444" t="str">
        <f>IFERROR(U6+U14,"")</f>
        <v/>
      </c>
    </row>
    <row r="25" spans="2:21" ht="25.5" customHeight="1" thickBot="1" x14ac:dyDescent="0.2">
      <c r="B25" s="702" t="s">
        <v>67</v>
      </c>
      <c r="C25" s="703"/>
      <c r="D25" s="401" t="e">
        <f>IF(②フルコスト分析シート!$B$2=0,"",VLOOKUP(②フルコスト分析シート!$B$2,⑫平成26年度!$C$6:$AQ$86,41,FALSE))</f>
        <v>#N/A</v>
      </c>
      <c r="E25" s="402" t="e">
        <f>IF(②フルコスト分析シート!$B$2=0,"",VLOOKUP(②フルコスト分析シート!$B$2,⑪平成27年度!$C$6:$AQ$86,41,FALSE))</f>
        <v>#N/A</v>
      </c>
      <c r="F25" s="403" t="e">
        <f>IF(②フルコスト分析シート!$B$2=0,"",VLOOKUP(②フルコスト分析シート!$B$2,⑩平成28年度!$C$6:$AQ$86,41,FALSE))</f>
        <v>#N/A</v>
      </c>
      <c r="G25" s="517" t="e">
        <f>IF(②フルコスト分析シート!$B$2=0,"",VLOOKUP(②フルコスト分析シート!$B$2,⑨平成29年度!$C$6:$AQ$86,41,FALSE))</f>
        <v>#N/A</v>
      </c>
      <c r="H25" s="402" t="e">
        <f>IF(②フルコスト分析シート!$B$2=0,"",VLOOKUP(②フルコスト分析シート!$B$2,⑧平成30年度!$C$6:$AQ$86,41,FALSE))</f>
        <v>#N/A</v>
      </c>
      <c r="I25" s="570" t="e">
        <f>IF(②フルコスト分析シート!$B$2=0,"",VLOOKUP(②フルコスト分析シート!$B$2,⑦令和元年度!$C$6:$AQ$86,41,FALSE))</f>
        <v>#N/A</v>
      </c>
      <c r="J25" s="38"/>
      <c r="K25" s="404" t="str">
        <f>IFERROR(AVERAGEIF(D25:I25,"&lt;&gt;0"),"0")</f>
        <v>0</v>
      </c>
      <c r="L25" s="38"/>
      <c r="M25" s="38"/>
      <c r="N25" s="405" t="str">
        <f>IFERROR(ROUND((N7+N17)/N23*100,2),"0")</f>
        <v>0</v>
      </c>
      <c r="O25" s="406" t="str">
        <f>IFERROR(ROUND((O7+O17)/O23*100,2),"0")</f>
        <v>0</v>
      </c>
      <c r="P25" s="6"/>
      <c r="Q25" s="6"/>
      <c r="R25" s="6"/>
      <c r="S25" s="6"/>
      <c r="T25" s="6"/>
      <c r="U25" s="407" t="str">
        <f>IF(②フルコスト分析シート!$Q$2=0,"",VLOOKUP(②フルコスト分析シート!$Q$2,⑧平成30年度!$C$6:$AQ$86,41,FALSE))</f>
        <v/>
      </c>
    </row>
    <row r="26" spans="2:21" ht="15" customHeight="1" thickBot="1" x14ac:dyDescent="0.2">
      <c r="B26" s="408"/>
      <c r="C26" s="409"/>
      <c r="D26" s="38"/>
      <c r="E26" s="38"/>
      <c r="F26" s="38"/>
      <c r="G26" s="38"/>
      <c r="H26" s="38"/>
      <c r="I26" s="558"/>
      <c r="J26" s="38"/>
      <c r="K26" s="410" t="s">
        <v>82</v>
      </c>
      <c r="L26" s="38"/>
      <c r="M26" s="38"/>
      <c r="N26" s="38"/>
      <c r="O26" s="410" t="s">
        <v>82</v>
      </c>
      <c r="P26" s="6"/>
      <c r="Q26" s="6"/>
      <c r="R26" s="6"/>
      <c r="S26" s="6"/>
      <c r="T26" s="6"/>
      <c r="U26" s="410" t="s">
        <v>82</v>
      </c>
    </row>
    <row r="27" spans="2:21" ht="25.5" customHeight="1" x14ac:dyDescent="0.15">
      <c r="B27" s="677" t="s">
        <v>129</v>
      </c>
      <c r="C27" s="678"/>
      <c r="D27" s="378" t="e">
        <f>IF(②フルコスト分析シート!$B$2=0,"",VLOOKUP(②フルコスト分析シート!$B$2,⑫平成26年度!$C$6:$AQ$86,25,FALSE))</f>
        <v>#N/A</v>
      </c>
      <c r="E27" s="379" t="e">
        <f>IF(②フルコスト分析シート!$B$2=0,"",VLOOKUP(②フルコスト分析シート!$B$2,⑪平成27年度!$C$6:$AQ$86,25,FALSE))</f>
        <v>#N/A</v>
      </c>
      <c r="F27" s="380" t="e">
        <f>IF(②フルコスト分析シート!$B$2=0,"",VLOOKUP(②フルコスト分析シート!$B$2,⑩平成28年度!$C$6:$AQ$86,25,FALSE))</f>
        <v>#N/A</v>
      </c>
      <c r="G27" s="518" t="e">
        <f>IF(②フルコスト分析シート!$B$2=0,"",VLOOKUP(②フルコスト分析シート!$B$2,⑨平成29年度!$C$6:$AQ$86,25,FALSE))</f>
        <v>#N/A</v>
      </c>
      <c r="H27" s="379" t="e">
        <f>IF(②フルコスト分析シート!$B$2=0,"",VLOOKUP(②フルコスト分析シート!$B$2,⑧平成30年度!$C$6:$AQ$86,25,FALSE))</f>
        <v>#N/A</v>
      </c>
      <c r="I27" s="572" t="e">
        <f>IF(②フルコスト分析シート!$B$2=0,"",VLOOKUP(②フルコスト分析シート!$B$2,⑦令和元年度!$C$6:$AQ$86,25,FALSE))</f>
        <v>#N/A</v>
      </c>
      <c r="J27" s="101"/>
      <c r="K27" s="88" t="str">
        <f t="shared" ref="K27:K36" si="11">IFERROR(AVERAGEIF(D27:I27,"&lt;&gt;0"),"0")</f>
        <v>0</v>
      </c>
      <c r="L27" s="38"/>
      <c r="M27" s="38"/>
      <c r="N27" s="49">
        <f>②フルコスト分析シート!M26</f>
        <v>0</v>
      </c>
      <c r="O27" s="53">
        <f>②フルコスト分析シート!O26</f>
        <v>0</v>
      </c>
      <c r="P27" s="6" t="s">
        <v>85</v>
      </c>
      <c r="Q27" s="6"/>
      <c r="R27" s="6"/>
      <c r="S27" s="6"/>
      <c r="T27" s="6"/>
      <c r="U27" s="445" t="str">
        <f>IF(②フルコスト分析シート!$Q$2=0,"",VLOOKUP(②フルコスト分析シート!$Q$2,⑧平成30年度!$C$6:$AQ$86,25,FALSE))</f>
        <v/>
      </c>
    </row>
    <row r="28" spans="2:21" ht="25.5" customHeight="1" thickBot="1" x14ac:dyDescent="0.2">
      <c r="B28" s="691" t="s">
        <v>137</v>
      </c>
      <c r="C28" s="692"/>
      <c r="D28" s="412" t="e">
        <f>IF(②フルコスト分析シート!$B$2=0,"",VLOOKUP(②フルコスト分析シート!$B$2,⑫平成26年度!$C$6:$AQ$86,32,FALSE))</f>
        <v>#N/A</v>
      </c>
      <c r="E28" s="413" t="e">
        <f>IF(②フルコスト分析シート!$B$2=0,"",VLOOKUP(②フルコスト分析シート!$B$2,⑪平成27年度!$C$6:$AQ$86,32,FALSE))</f>
        <v>#N/A</v>
      </c>
      <c r="F28" s="414" t="e">
        <f>IF(②フルコスト分析シート!$B$2=0,"",VLOOKUP(②フルコスト分析シート!$B$2,⑩平成28年度!$C$6:$AQ$86,32,FALSE))</f>
        <v>#N/A</v>
      </c>
      <c r="G28" s="519" t="e">
        <f>IF(②フルコスト分析シート!$B$2=0,"",VLOOKUP(②フルコスト分析シート!$B$2,⑨平成29年度!$C$6:$AQ$86,32,FALSE))</f>
        <v>#N/A</v>
      </c>
      <c r="H28" s="413" t="e">
        <f>IF(②フルコスト分析シート!$B$2=0,"",VLOOKUP(②フルコスト分析シート!$B$2,⑧平成30年度!$C$6:$AQ$86,32,FALSE))</f>
        <v>#N/A</v>
      </c>
      <c r="I28" s="576" t="e">
        <f>IF(②フルコスト分析シート!$B$2=0,"",VLOOKUP(②フルコスト分析シート!$B$2,⑦令和元年度!$C$6:$AQ$86,32,FALSE))</f>
        <v>#N/A</v>
      </c>
      <c r="J28" s="101"/>
      <c r="K28" s="416" t="str">
        <f t="shared" si="11"/>
        <v>0</v>
      </c>
      <c r="L28" s="38"/>
      <c r="M28" s="38"/>
      <c r="N28" s="417" t="str">
        <f>IFERROR(ROUNDDOWN($N$23/N27,0),"0")</f>
        <v>0</v>
      </c>
      <c r="O28" s="418" t="str">
        <f>IFERROR(ROUNDDOWN($O$23/O27,0),"0")</f>
        <v>0</v>
      </c>
      <c r="P28" s="6" t="s">
        <v>46</v>
      </c>
      <c r="Q28" s="6"/>
      <c r="R28" s="6"/>
      <c r="S28" s="6"/>
      <c r="T28" s="6"/>
      <c r="U28" s="419" t="str">
        <f>IF(②フルコスト分析シート!$Q$2=0,"",VLOOKUP(②フルコスト分析シート!$Q$2,⑧平成30年度!$C$6:$AQ$86,32,FALSE))</f>
        <v/>
      </c>
    </row>
    <row r="29" spans="2:21" ht="25.5" customHeight="1" outlineLevel="1" x14ac:dyDescent="0.15">
      <c r="B29" s="677" t="s">
        <v>130</v>
      </c>
      <c r="C29" s="678"/>
      <c r="D29" s="378" t="e">
        <f>IF(②フルコスト分析シート!$B$2=0,"",VLOOKUP(②フルコスト分析シート!$B$2,⑫平成26年度!$C$6:$AQ$86,27,FALSE))</f>
        <v>#N/A</v>
      </c>
      <c r="E29" s="379" t="e">
        <f>IF(②フルコスト分析シート!$B$2=0,"",VLOOKUP(②フルコスト分析シート!$B$2,⑪平成27年度!$C$6:$AQ$86,27,FALSE))</f>
        <v>#N/A</v>
      </c>
      <c r="F29" s="380" t="e">
        <f>IF(②フルコスト分析シート!$B$2=0,"",VLOOKUP(②フルコスト分析シート!$B$2,⑩平成28年度!$C$6:$AQ$86,27,FALSE))</f>
        <v>#N/A</v>
      </c>
      <c r="G29" s="518" t="e">
        <f>IF(②フルコスト分析シート!$B$2=0,"",VLOOKUP(②フルコスト分析シート!$B$2,⑨平成29年度!$C$6:$AQ$86,27,FALSE))</f>
        <v>#N/A</v>
      </c>
      <c r="H29" s="379" t="e">
        <f>IF(②フルコスト分析シート!$B$2=0,"",VLOOKUP(②フルコスト分析シート!$B$2,⑧平成30年度!$C$6:$AQ$86,27,FALSE))</f>
        <v>#N/A</v>
      </c>
      <c r="I29" s="381" t="e">
        <f>IF(②フルコスト分析シート!$B$2=0,"",VLOOKUP(②フルコスト分析シート!$B$2,⑦令和元年度!$C$6:$AQ$86,27,FALSE))</f>
        <v>#N/A</v>
      </c>
      <c r="J29" s="101"/>
      <c r="K29" s="88" t="str">
        <f t="shared" si="11"/>
        <v>0</v>
      </c>
      <c r="L29" s="38"/>
      <c r="M29" s="38"/>
      <c r="N29" s="49">
        <f>②フルコスト分析シート!M28</f>
        <v>0</v>
      </c>
      <c r="O29" s="53">
        <f>②フルコスト分析シート!O28</f>
        <v>0</v>
      </c>
      <c r="P29" s="6" t="s">
        <v>85</v>
      </c>
      <c r="Q29" s="6"/>
      <c r="R29" s="6"/>
      <c r="S29" s="6"/>
      <c r="T29" s="6"/>
      <c r="U29" s="445" t="str">
        <f>IF(②フルコスト分析シート!$Q$2=0,"",VLOOKUP(②フルコスト分析シート!$Q$2,⑧平成30年度!$C$6:$AQ$86,27,FALSE))</f>
        <v/>
      </c>
    </row>
    <row r="30" spans="2:21" ht="25.5" customHeight="1" outlineLevel="1" thickBot="1" x14ac:dyDescent="0.2">
      <c r="B30" s="691" t="s">
        <v>138</v>
      </c>
      <c r="C30" s="692"/>
      <c r="D30" s="412" t="e">
        <f>IF(②フルコスト分析シート!$B$2=0,"",VLOOKUP(②フルコスト分析シート!$B$2,⑫平成26年度!$C$6:$AQ$86,33,FALSE))</f>
        <v>#N/A</v>
      </c>
      <c r="E30" s="413" t="e">
        <f>IF(②フルコスト分析シート!$B$2=0,"",VLOOKUP(②フルコスト分析シート!$B$2,⑪平成27年度!$C$6:$AQ$86,33,FALSE))</f>
        <v>#N/A</v>
      </c>
      <c r="F30" s="414" t="e">
        <f>IF(②フルコスト分析シート!$B$2=0,"",VLOOKUP(②フルコスト分析シート!$B$2,⑩平成28年度!$C$6:$AQ$86,33,FALSE))</f>
        <v>#N/A</v>
      </c>
      <c r="G30" s="519" t="e">
        <f>IF(②フルコスト分析シート!$B$2=0,"",VLOOKUP(②フルコスト分析シート!$B$2,⑨平成29年度!$C$6:$AQ$86,33,FALSE))</f>
        <v>#N/A</v>
      </c>
      <c r="H30" s="413" t="e">
        <f>IF(②フルコスト分析シート!$B$2=0,"",VLOOKUP(②フルコスト分析シート!$B$2,⑧平成30年度!$C$6:$AQ$86,33,FALSE))</f>
        <v>#N/A</v>
      </c>
      <c r="I30" s="564" t="e">
        <f>IF(②フルコスト分析シート!$B$2=0,"",VLOOKUP(②フルコスト分析シート!$B$2,⑦令和元年度!$C$6:$AQ$86,33,FALSE))</f>
        <v>#N/A</v>
      </c>
      <c r="J30" s="101"/>
      <c r="K30" s="416" t="str">
        <f t="shared" si="11"/>
        <v>0</v>
      </c>
      <c r="L30" s="38"/>
      <c r="M30" s="38"/>
      <c r="N30" s="417" t="str">
        <f>IFERROR(ROUNDDOWN($N$23/N29,0),"0")</f>
        <v>0</v>
      </c>
      <c r="O30" s="418" t="str">
        <f>IFERROR(ROUNDDOWN($O$23/O29,0),"0")</f>
        <v>0</v>
      </c>
      <c r="P30" s="6" t="s">
        <v>46</v>
      </c>
      <c r="Q30" s="6"/>
      <c r="R30" s="6"/>
      <c r="S30" s="6"/>
      <c r="T30" s="6"/>
      <c r="U30" s="419" t="str">
        <f>IF(②フルコスト分析シート!$Q$2=0,"",VLOOKUP(②フルコスト分析シート!$Q$2,⑧平成30年度!$C$6:$AQ$86,33,FALSE))</f>
        <v/>
      </c>
    </row>
    <row r="31" spans="2:21" ht="25.5" customHeight="1" outlineLevel="1" x14ac:dyDescent="0.15">
      <c r="B31" s="677" t="s">
        <v>133</v>
      </c>
      <c r="C31" s="678"/>
      <c r="D31" s="378" t="e">
        <f>IF(②フルコスト分析シート!$B$2=0,"",VLOOKUP(②フルコスト分析シート!$B$2,⑫平成26年度!$C$6:$AQ$86,29,FALSE))</f>
        <v>#N/A</v>
      </c>
      <c r="E31" s="379" t="e">
        <f>IF(②フルコスト分析シート!$B$2=0,"",VLOOKUP(②フルコスト分析シート!$B$2,⑪平成27年度!$C$6:$AQ$86,29,FALSE))</f>
        <v>#N/A</v>
      </c>
      <c r="F31" s="380" t="e">
        <f>IF(②フルコスト分析シート!$B$2=0,"",VLOOKUP(②フルコスト分析シート!$B$2,⑩平成28年度!$C$6:$AQ$86,29,FALSE))</f>
        <v>#N/A</v>
      </c>
      <c r="G31" s="518" t="e">
        <f>IF(②フルコスト分析シート!$B$2=0,"",VLOOKUP(②フルコスト分析シート!$B$2,⑨平成29年度!$C$6:$AQ$86,29,FALSE))</f>
        <v>#N/A</v>
      </c>
      <c r="H31" s="379" t="e">
        <f>IF(②フルコスト分析シート!$B$2=0,"",VLOOKUP(②フルコスト分析シート!$B$2,⑧平成30年度!$C$6:$AQ$86,29,FALSE))</f>
        <v>#N/A</v>
      </c>
      <c r="I31" s="381" t="e">
        <f>IF(②フルコスト分析シート!$B$2=0,"",VLOOKUP(②フルコスト分析シート!$B$2,⑦令和元年度!$C$6:$AQ$86,29,FALSE))</f>
        <v>#N/A</v>
      </c>
      <c r="J31" s="101"/>
      <c r="K31" s="88" t="str">
        <f t="shared" si="11"/>
        <v>0</v>
      </c>
      <c r="L31" s="38"/>
      <c r="M31" s="38"/>
      <c r="N31" s="49">
        <f>②フルコスト分析シート!M30</f>
        <v>0</v>
      </c>
      <c r="O31" s="53">
        <f>②フルコスト分析シート!O30</f>
        <v>0</v>
      </c>
      <c r="P31" s="6" t="s">
        <v>85</v>
      </c>
      <c r="Q31" s="6"/>
      <c r="R31" s="6"/>
      <c r="S31" s="6"/>
      <c r="T31" s="6"/>
      <c r="U31" s="445" t="str">
        <f>IF(②フルコスト分析シート!$Q$2=0,"",VLOOKUP(②フルコスト分析シート!$Q$2,⑧平成30年度!$C$6:$AQ$86,29,FALSE))</f>
        <v/>
      </c>
    </row>
    <row r="32" spans="2:21" ht="25.5" customHeight="1" outlineLevel="1" thickBot="1" x14ac:dyDescent="0.2">
      <c r="B32" s="691" t="s">
        <v>139</v>
      </c>
      <c r="C32" s="692"/>
      <c r="D32" s="412" t="e">
        <f>IF(②フルコスト分析シート!$B$2=0,"",VLOOKUP(②フルコスト分析シート!$B$2,⑫平成26年度!$C$6:$AQ$86,34,FALSE))</f>
        <v>#N/A</v>
      </c>
      <c r="E32" s="413" t="e">
        <f>IF(②フルコスト分析シート!$B$2=0,"",VLOOKUP(②フルコスト分析シート!$B$2,⑪平成27年度!$C$6:$AQ$86,34,FALSE))</f>
        <v>#N/A</v>
      </c>
      <c r="F32" s="414" t="e">
        <f>IF(②フルコスト分析シート!$B$2=0,"",VLOOKUP(②フルコスト分析シート!$B$2,⑩平成28年度!$C$6:$AQ$86,34,FALSE))</f>
        <v>#N/A</v>
      </c>
      <c r="G32" s="519" t="e">
        <f>IF(②フルコスト分析シート!$B$2=0,"",VLOOKUP(②フルコスト分析シート!$B$2,⑨平成29年度!$C$6:$AQ$86,34,FALSE))</f>
        <v>#N/A</v>
      </c>
      <c r="H32" s="413" t="e">
        <f>IF(②フルコスト分析シート!$B$2=0,"",VLOOKUP(②フルコスト分析シート!$B$2,⑧平成30年度!$C$6:$AQ$86,34,FALSE))</f>
        <v>#N/A</v>
      </c>
      <c r="I32" s="415" t="e">
        <f>IF(②フルコスト分析シート!$B$2=0,"",VLOOKUP(②フルコスト分析シート!$B$2,⑦令和元年度!$C$6:$AQ$86,34,FALSE))</f>
        <v>#N/A</v>
      </c>
      <c r="J32" s="101"/>
      <c r="K32" s="416" t="str">
        <f t="shared" si="11"/>
        <v>0</v>
      </c>
      <c r="L32" s="38"/>
      <c r="M32" s="38"/>
      <c r="N32" s="417" t="str">
        <f>IFERROR(ROUNDDOWN($N$23/N31,0),"0")</f>
        <v>0</v>
      </c>
      <c r="O32" s="418" t="str">
        <f>IFERROR(ROUNDDOWN($O$23/O31,0),"0")</f>
        <v>0</v>
      </c>
      <c r="P32" s="6" t="s">
        <v>46</v>
      </c>
      <c r="Q32" s="6"/>
      <c r="R32" s="6"/>
      <c r="S32" s="6"/>
      <c r="T32" s="6"/>
      <c r="U32" s="419" t="str">
        <f>IF(②フルコスト分析シート!$Q$2=0,"",VLOOKUP(②フルコスト分析シート!$Q$2,⑧平成30年度!$C$6:$AQ$86,34,FALSE))</f>
        <v/>
      </c>
    </row>
    <row r="33" spans="2:25" ht="25.5" customHeight="1" outlineLevel="1" x14ac:dyDescent="0.15">
      <c r="B33" s="677" t="s">
        <v>135</v>
      </c>
      <c r="C33" s="678"/>
      <c r="D33" s="378" t="e">
        <f>IF(②フルコスト分析シート!$B$2=0,"",VLOOKUP(②フルコスト分析シート!$B$2,⑫平成26年度!$C$6:$AQ$86,31,FALSE))</f>
        <v>#N/A</v>
      </c>
      <c r="E33" s="379" t="e">
        <f>IF(②フルコスト分析シート!$B$2=0,"",VLOOKUP(②フルコスト分析シート!$B$2,⑪平成27年度!$C$6:$AQ$86,31,FALSE))</f>
        <v>#N/A</v>
      </c>
      <c r="F33" s="380" t="e">
        <f>IF(②フルコスト分析シート!$B$2=0,"",VLOOKUP(②フルコスト分析シート!$B$2,⑩平成28年度!$C$6:$AQ$86,31,FALSE))</f>
        <v>#N/A</v>
      </c>
      <c r="G33" s="518" t="e">
        <f>IF(②フルコスト分析シート!$B$2=0,"",VLOOKUP(②フルコスト分析シート!$B$2,⑨平成29年度!$C$6:$AQ$86,31,FALSE))</f>
        <v>#N/A</v>
      </c>
      <c r="H33" s="379" t="e">
        <f>IF(②フルコスト分析シート!$B$2=0,"",VLOOKUP(②フルコスト分析シート!$B$2,⑧平成30年度!$C$6:$AQ$86,31,FALSE))</f>
        <v>#N/A</v>
      </c>
      <c r="I33" s="565" t="e">
        <f>IF(②フルコスト分析シート!$B$2=0,"",VLOOKUP(②フルコスト分析シート!$B$2,⑦令和元年度!$C$6:$AQ$86,31,FALSE))</f>
        <v>#N/A</v>
      </c>
      <c r="J33" s="101"/>
      <c r="K33" s="88" t="str">
        <f t="shared" si="11"/>
        <v>0</v>
      </c>
      <c r="L33" s="38"/>
      <c r="M33" s="38"/>
      <c r="N33" s="49">
        <f>②フルコスト分析シート!M32</f>
        <v>0</v>
      </c>
      <c r="O33" s="53">
        <f>②フルコスト分析シート!O32</f>
        <v>0</v>
      </c>
      <c r="P33" s="6" t="s">
        <v>85</v>
      </c>
      <c r="Q33" s="6"/>
      <c r="R33" s="6"/>
      <c r="S33" s="6"/>
      <c r="T33" s="6"/>
      <c r="U33" s="445" t="str">
        <f>IF(②フルコスト分析シート!$Q$2=0,"",VLOOKUP(②フルコスト分析シート!$Q$2,⑧平成30年度!$C$6:$AQ$86,31,FALSE))</f>
        <v/>
      </c>
    </row>
    <row r="34" spans="2:25" ht="25.5" customHeight="1" outlineLevel="1" thickBot="1" x14ac:dyDescent="0.2">
      <c r="B34" s="691" t="s">
        <v>140</v>
      </c>
      <c r="C34" s="692"/>
      <c r="D34" s="412" t="e">
        <f>IF(②フルコスト分析シート!$B$2=0,"",VLOOKUP(②フルコスト分析シート!$B$2,⑫平成26年度!$C$6:$AQ$86,35,FALSE))</f>
        <v>#N/A</v>
      </c>
      <c r="E34" s="413" t="e">
        <f>IF(②フルコスト分析シート!$B$2=0,"",VLOOKUP(②フルコスト分析シート!$B$2,⑪平成27年度!$C$6:$AQ$86,35,FALSE))</f>
        <v>#N/A</v>
      </c>
      <c r="F34" s="414" t="e">
        <f>IF(②フルコスト分析シート!$B$2=0,"",VLOOKUP(②フルコスト分析シート!$B$2,⑩平成28年度!$C$6:$AQ$86,35,FALSE))</f>
        <v>#N/A</v>
      </c>
      <c r="G34" s="519" t="e">
        <f>IF(②フルコスト分析シート!$B$2=0,"",VLOOKUP(②フルコスト分析シート!$B$2,⑨平成29年度!$C$6:$AQ$86,35,FALSE))</f>
        <v>#N/A</v>
      </c>
      <c r="H34" s="413" t="e">
        <f>IF(②フルコスト分析シート!$B$2=0,"",VLOOKUP(②フルコスト分析シート!$B$2,⑧平成30年度!$C$6:$AQ$86,35,FALSE))</f>
        <v>#N/A</v>
      </c>
      <c r="I34" s="357" t="e">
        <f>IF(②フルコスト分析シート!$B$2=0,"",VLOOKUP(②フルコスト分析シート!$B$2,⑦令和元年度!$C$6:$AQ$86,35,FALSE))</f>
        <v>#N/A</v>
      </c>
      <c r="J34" s="101"/>
      <c r="K34" s="420" t="str">
        <f t="shared" si="11"/>
        <v>0</v>
      </c>
      <c r="L34" s="38"/>
      <c r="M34" s="38"/>
      <c r="N34" s="417" t="str">
        <f>IFERROR(ROUNDDOWN($N$23/N33,0),"0")</f>
        <v>0</v>
      </c>
      <c r="O34" s="418" t="str">
        <f>IFERROR(ROUNDDOWN($O$23/O33,0),"0")</f>
        <v>0</v>
      </c>
      <c r="P34" s="6" t="s">
        <v>46</v>
      </c>
      <c r="Q34" s="6"/>
      <c r="R34" s="6"/>
      <c r="S34" s="6"/>
      <c r="T34" s="6"/>
      <c r="U34" s="421" t="str">
        <f>IF(②フルコスト分析シート!$Q$2=0,"",VLOOKUP(②フルコスト分析シート!$Q$2,⑧平成30年度!$C$6:$AQ$86,35,FALSE))</f>
        <v/>
      </c>
    </row>
    <row r="35" spans="2:25" ht="25.5" customHeight="1" outlineLevel="1" x14ac:dyDescent="0.15">
      <c r="B35" s="693" t="s">
        <v>263</v>
      </c>
      <c r="C35" s="694"/>
      <c r="D35" s="378">
        <f>②フルコスト分析シート!E34</f>
        <v>0</v>
      </c>
      <c r="E35" s="379">
        <f>②フルコスト分析シート!F34</f>
        <v>0</v>
      </c>
      <c r="F35" s="379">
        <f>②フルコスト分析シート!G34</f>
        <v>0</v>
      </c>
      <c r="G35" s="380">
        <f>②フルコスト分析シート!H34</f>
        <v>0</v>
      </c>
      <c r="H35" s="379">
        <f>②フルコスト分析シート!I34</f>
        <v>0</v>
      </c>
      <c r="I35" s="171">
        <f>②フルコスト分析シート!J34</f>
        <v>0</v>
      </c>
      <c r="J35" s="101"/>
      <c r="K35" s="88" t="str">
        <f t="shared" si="11"/>
        <v>0</v>
      </c>
      <c r="L35" s="38"/>
      <c r="M35" s="38"/>
      <c r="N35" s="49">
        <f>②フルコスト分析シート!M34</f>
        <v>0</v>
      </c>
      <c r="O35" s="53">
        <f>②フルコスト分析シート!O34</f>
        <v>0</v>
      </c>
      <c r="P35" s="6"/>
      <c r="Q35" s="6"/>
      <c r="R35" s="6"/>
      <c r="S35" s="6"/>
      <c r="T35" s="6"/>
      <c r="U35" s="446"/>
    </row>
    <row r="36" spans="2:25" ht="25.5" customHeight="1" outlineLevel="1" thickBot="1" x14ac:dyDescent="0.2">
      <c r="B36" s="691" t="s">
        <v>264</v>
      </c>
      <c r="C36" s="692"/>
      <c r="D36" s="412" t="str">
        <f>IFERROR(ROUNDDOWN(D23/D35,0),"")</f>
        <v/>
      </c>
      <c r="E36" s="413" t="str">
        <f t="shared" ref="E36:G36" si="12">IFERROR(ROUNDDOWN(E23/E35,0),"")</f>
        <v/>
      </c>
      <c r="F36" s="413" t="str">
        <f t="shared" si="12"/>
        <v/>
      </c>
      <c r="G36" s="414" t="str">
        <f t="shared" si="12"/>
        <v/>
      </c>
      <c r="H36" s="413" t="str">
        <f>IFERROR(ROUNDDOWN(H23/H35,0),"")</f>
        <v/>
      </c>
      <c r="I36" s="573" t="str">
        <f>IFERROR(ROUNDDOWN(I23/I35,0),"")</f>
        <v/>
      </c>
      <c r="J36" s="101"/>
      <c r="K36" s="416" t="str">
        <f t="shared" si="11"/>
        <v>0</v>
      </c>
      <c r="L36" s="38"/>
      <c r="M36" s="38"/>
      <c r="N36" s="417" t="str">
        <f>IFERROR(ROUNDDOWN($N$23/N35,0),"0")</f>
        <v>0</v>
      </c>
      <c r="O36" s="418" t="str">
        <f>IFERROR(ROUNDDOWN($O$23/O35,0),"0")</f>
        <v>0</v>
      </c>
      <c r="P36" s="6"/>
      <c r="Q36" s="6"/>
      <c r="R36" s="6"/>
      <c r="S36" s="6"/>
      <c r="T36" s="6"/>
      <c r="U36" s="422"/>
    </row>
    <row r="37" spans="2:25" ht="15" customHeight="1" thickBot="1" x14ac:dyDescent="0.2">
      <c r="B37" s="6"/>
      <c r="C37" s="6"/>
      <c r="D37" s="6"/>
      <c r="E37" s="6"/>
      <c r="F37" s="6"/>
      <c r="G37" s="6"/>
      <c r="H37" s="6"/>
      <c r="I37" s="560"/>
      <c r="J37" s="98"/>
      <c r="K37" s="43" t="s">
        <v>81</v>
      </c>
      <c r="L37" s="6"/>
      <c r="M37" s="98"/>
      <c r="N37" s="43"/>
      <c r="O37" s="43" t="s">
        <v>81</v>
      </c>
      <c r="P37" s="6"/>
      <c r="Q37" s="6"/>
      <c r="R37" s="6"/>
      <c r="S37" s="6"/>
      <c r="T37" s="6"/>
      <c r="U37" s="43" t="s">
        <v>81</v>
      </c>
    </row>
    <row r="38" spans="2:25" ht="25.5" customHeight="1" x14ac:dyDescent="0.15">
      <c r="B38" s="677" t="s">
        <v>11</v>
      </c>
      <c r="C38" s="678"/>
      <c r="D38" s="86" t="e">
        <f>IF(②フルコスト分析シート!$B$2=0,"",VLOOKUP(②フルコスト分析シート!$B$2,⑫平成26年度!$C$6:$AQ$86,22,FALSE))</f>
        <v>#N/A</v>
      </c>
      <c r="E38" s="87" t="e">
        <f>IF(②フルコスト分析シート!$B$2=0,"",VLOOKUP(②フルコスト分析シート!$B$2,⑪平成27年度!$C$6:$AQ$86,22,FALSE))</f>
        <v>#N/A</v>
      </c>
      <c r="F38" s="169" t="e">
        <f>IF(②フルコスト分析シート!$B$2=0,"",VLOOKUP(②フルコスト分析シート!$B$2,⑩平成28年度!$C$6:$AQ$86,22,FALSE))</f>
        <v>#N/A</v>
      </c>
      <c r="G38" s="520" t="e">
        <f>IF(②フルコスト分析シート!$B$2=0,"",VLOOKUP(②フルコスト分析シート!$B$2,⑨平成29年度!$C$6:$AQ$86,22,FALSE))</f>
        <v>#N/A</v>
      </c>
      <c r="H38" s="87" t="e">
        <f>IF(②フルコスト分析シート!$B$2=0,"",VLOOKUP(②フルコスト分析シート!$B$2,⑧平成30年度!$C$6:$AQ$86,22,FALSE))</f>
        <v>#N/A</v>
      </c>
      <c r="I38" s="572" t="e">
        <f>IF(②フルコスト分析シート!$B$2=0,"",VLOOKUP(②フルコスト分析シート!$B$2,⑦令和元年度!$C$6:$AQ$86,22,FALSE))</f>
        <v>#N/A</v>
      </c>
      <c r="J38" s="38"/>
      <c r="K38" s="88" t="str">
        <f>IFERROR(AVERAGEIF(D38:I38,"&lt;&gt;0"),"0")</f>
        <v>0</v>
      </c>
      <c r="L38" s="38"/>
      <c r="M38" s="38"/>
      <c r="N38" s="378">
        <f>②フルコスト分析シート!M38*1000</f>
        <v>0</v>
      </c>
      <c r="O38" s="381">
        <f>②フルコスト分析シート!O38*1000</f>
        <v>0</v>
      </c>
      <c r="P38" s="426" t="s">
        <v>85</v>
      </c>
      <c r="Q38" s="6"/>
      <c r="R38" s="6"/>
      <c r="S38" s="6"/>
      <c r="T38" s="6"/>
      <c r="U38" s="89" t="str">
        <f>IF(②フルコスト分析シート!$Q$2=0,"",VLOOKUP(②フルコスト分析シート!$Q$2,⑧平成30年度!$C$6:$AQ$86,22,FALSE))</f>
        <v/>
      </c>
    </row>
    <row r="39" spans="2:25" ht="25.5" customHeight="1" x14ac:dyDescent="0.15">
      <c r="B39" s="704" t="s">
        <v>12</v>
      </c>
      <c r="C39" s="705"/>
      <c r="D39" s="428" t="e">
        <f>IF(②フルコスト分析シート!$B$2=0,"",VLOOKUP(②フルコスト分析シート!$B$2,⑫平成26年度!$C$6:$AQ$86,23,FALSE))</f>
        <v>#N/A</v>
      </c>
      <c r="E39" s="429" t="e">
        <f>IF(②フルコスト分析シート!$B$2=0,"",VLOOKUP(②フルコスト分析シート!$B$2,⑪平成27年度!$C$6:$AQ$86,23,FALSE))</f>
        <v>#N/A</v>
      </c>
      <c r="F39" s="430" t="e">
        <f>IF(②フルコスト分析シート!$B$2=0,"",VLOOKUP(②フルコスト分析シート!$B$2,⑩平成28年度!$C$6:$AQ$86,23,FALSE))</f>
        <v>#N/A</v>
      </c>
      <c r="G39" s="521" t="e">
        <f>IF(②フルコスト分析シート!$B$2=0,"",VLOOKUP(②フルコスト分析シート!$B$2,⑨平成29年度!$C$6:$AQ$86,23,FALSE))</f>
        <v>#N/A</v>
      </c>
      <c r="H39" s="429" t="e">
        <f>IF(②フルコスト分析シート!$B$2=0,"",VLOOKUP(②フルコスト分析シート!$B$2,⑧平成30年度!$C$6:$AQ$86,23,FALSE))</f>
        <v>#N/A</v>
      </c>
      <c r="I39" s="431" t="e">
        <f>IF(②フルコスト分析シート!$B$2=0,"",VLOOKUP(②フルコスト分析シート!$B$2,⑦令和元年度!$C$6:$AQ$86,23,FALSE))</f>
        <v>#N/A</v>
      </c>
      <c r="J39" s="90"/>
      <c r="K39" s="432" t="str">
        <f>IFERROR(AVERAGEIF(D39:I39,"&lt;&gt;0"),"0")</f>
        <v>0</v>
      </c>
      <c r="L39" s="38"/>
      <c r="M39" s="38"/>
      <c r="N39" s="91" t="str">
        <f>IFERROR(ROUND(N38/N23*100,1),"0")</f>
        <v>0</v>
      </c>
      <c r="O39" s="92" t="str">
        <f>IFERROR(ROUND(O38/O23*100,1),"0")</f>
        <v>0</v>
      </c>
      <c r="P39" s="6" t="s">
        <v>61</v>
      </c>
      <c r="Q39" s="6"/>
      <c r="R39" s="6"/>
      <c r="S39" s="6"/>
      <c r="T39" s="6"/>
      <c r="U39" s="93" t="str">
        <f>IF(②フルコスト分析シート!$Q$2=0,"",VLOOKUP(②フルコスト分析シート!$Q$2,⑧平成30年度!$C$6:$AQ$86,23,FALSE))</f>
        <v/>
      </c>
    </row>
    <row r="40" spans="2:25" ht="25.5" customHeight="1" thickBot="1" x14ac:dyDescent="0.2">
      <c r="B40" s="706" t="s">
        <v>13</v>
      </c>
      <c r="C40" s="707"/>
      <c r="D40" s="447">
        <f>AVERAGE(⑫平成26年度!$Y$6:$Y$17,⑫平成26年度!$Y$21:$Y$72,⑫平成26年度!$Y$77:$Y$86)</f>
        <v>35.370714285714293</v>
      </c>
      <c r="E40" s="448">
        <f>AVERAGE(⑪平成27年度!$Y$6:$Y$17,⑪平成27年度!$Y$21:$Y$72,⑪平成27年度!$Y$77:$Y$86)</f>
        <v>41.592999999999996</v>
      </c>
      <c r="F40" s="449">
        <f>AVERAGE(⑩平成28年度!$Y$6:$Y$17,⑩平成28年度!$Y$21:$Y$72,⑩平成28年度!$Y$77:$Y$86)</f>
        <v>43.023333333333341</v>
      </c>
      <c r="G40" s="522">
        <f>AVERAGE(⑨平成29年度!$Y$6:$Y$17,⑨平成29年度!$Y$21:$Y$72,⑨平成29年度!$Y$77:$Y$86)</f>
        <v>42.946060606060612</v>
      </c>
      <c r="H40" s="448">
        <f>AVERAGE(⑧平成30年度!$Y$6:$Y$17,⑧平成30年度!$Y$21:$Y$72,⑧平成30年度!$Y$77:$Y$86)</f>
        <v>40.764848484848478</v>
      </c>
      <c r="I40" s="450">
        <f>AVERAGE(⑦令和元年度!$Y$6:$Y$17,⑦令和元年度!$Y$21:$Y$72,⑦令和元年度!$Y$77:$Y$86)</f>
        <v>40.622727272727275</v>
      </c>
      <c r="J40" s="38"/>
      <c r="K40" s="451">
        <f>AVERAGEIF(D40:I40,"&lt;&gt;0")</f>
        <v>40.720113997113998</v>
      </c>
      <c r="L40" s="38"/>
      <c r="M40" s="38"/>
      <c r="N40" s="94"/>
      <c r="O40" s="95"/>
      <c r="P40" s="6"/>
      <c r="Q40" s="6"/>
      <c r="R40" s="6"/>
      <c r="S40" s="6"/>
      <c r="T40" s="6"/>
      <c r="U40" s="96"/>
    </row>
    <row r="41" spans="2:25" ht="15" customHeight="1" thickBot="1" x14ac:dyDescent="0.2">
      <c r="B41" s="6"/>
      <c r="C41" s="6"/>
      <c r="D41" s="6"/>
      <c r="E41" s="6"/>
      <c r="F41" s="6"/>
      <c r="G41" s="6"/>
      <c r="H41" s="6"/>
      <c r="I41" s="559"/>
      <c r="J41" s="98"/>
      <c r="K41" s="43" t="s">
        <v>81</v>
      </c>
      <c r="L41" s="6"/>
      <c r="M41" s="98"/>
      <c r="N41" s="43"/>
      <c r="O41" s="43" t="s">
        <v>81</v>
      </c>
      <c r="P41" s="6"/>
      <c r="Q41" s="6"/>
      <c r="R41" s="6"/>
      <c r="S41" s="6"/>
      <c r="T41" s="6"/>
      <c r="U41" s="43" t="s">
        <v>81</v>
      </c>
    </row>
    <row r="42" spans="2:25" ht="25.5" customHeight="1" x14ac:dyDescent="0.15">
      <c r="B42" s="710" t="s">
        <v>613</v>
      </c>
      <c r="C42" s="711"/>
      <c r="D42" s="423" t="e">
        <f>IF(②フルコスト分析シート!$B$2=0,"",VLOOKUP(②フルコスト分析シート!$B$2,⑫平成26年度!$C$6:$AQ$86,39,FALSE))</f>
        <v>#N/A</v>
      </c>
      <c r="E42" s="424" t="e">
        <f>IF(②フルコスト分析シート!$B$2=0,"",VLOOKUP(②フルコスト分析シート!$B$2,⑪平成27年度!$C$6:$AQ$86,39,FALSE))</f>
        <v>#N/A</v>
      </c>
      <c r="F42" s="425" t="e">
        <f>IF(②フルコスト分析シート!$B$2=0,"",VLOOKUP(②フルコスト分析シート!$B$2,⑩平成28年度!$C$6:$AQ$86,39,FALSE))</f>
        <v>#N/A</v>
      </c>
      <c r="G42" s="523" t="e">
        <f>IF(②フルコスト分析シート!$B$2=0,"",VLOOKUP(②フルコスト分析シート!$B$2,⑨平成29年度!$C$6:$AQ$86,39,FALSE))</f>
        <v>#N/A</v>
      </c>
      <c r="H42" s="424" t="e">
        <f>IF(②フルコスト分析シート!$B$2=0,"",VLOOKUP(②フルコスト分析シート!$B$2,⑧平成30年度!$C$6:$AQ$86,39,FALSE))</f>
        <v>#N/A</v>
      </c>
      <c r="I42" s="569" t="e">
        <f>IF(②フルコスト分析シート!$B$2=0,"",VLOOKUP(②フルコスト分析シート!$B$2,⑦令和元年度!$C$6:$AQ$86,39,FALSE))</f>
        <v>#N/A</v>
      </c>
      <c r="J42" s="38"/>
      <c r="K42" s="411" t="str">
        <f>IFERROR(AVERAGEIF(D42:I42,"&lt;&gt;0"),"0")</f>
        <v>0</v>
      </c>
      <c r="L42" s="38"/>
      <c r="M42" s="38"/>
      <c r="N42" s="41">
        <f>②フルコスト分析シート!M41*1000</f>
        <v>0</v>
      </c>
      <c r="O42" s="42">
        <f>②フルコスト分析シート!O41*1000</f>
        <v>0</v>
      </c>
      <c r="P42" s="426" t="s">
        <v>85</v>
      </c>
      <c r="Q42" s="6"/>
      <c r="R42" s="6"/>
      <c r="S42" s="6"/>
      <c r="T42" s="6"/>
      <c r="U42" s="427" t="str">
        <f>IF(②フルコスト分析シート!$Q$2=0,"",VLOOKUP(②フルコスト分析シート!$Q$2,⑧平成30年度!$C$6:$AQ$86,39,FALSE))</f>
        <v/>
      </c>
    </row>
    <row r="43" spans="2:25" ht="25.5" customHeight="1" x14ac:dyDescent="0.15">
      <c r="B43" s="708" t="s">
        <v>14</v>
      </c>
      <c r="C43" s="709"/>
      <c r="D43" s="60" t="e">
        <f>IF(②フルコスト分析シート!$B$2=0,"",VLOOKUP(②フルコスト分析シート!$B$2,⑫平成26年度!$C$6:$AQ$86,40,FALSE))</f>
        <v>#N/A</v>
      </c>
      <c r="E43" s="63" t="e">
        <f>IF(②フルコスト分析シート!$B$2=0,"",VLOOKUP(②フルコスト分析シート!$B$2,⑪平成27年度!$C$6:$AQ$86,40,FALSE))</f>
        <v>#N/A</v>
      </c>
      <c r="F43" s="163" t="e">
        <f>IF(②フルコスト分析シート!$B$2=0,"",VLOOKUP(②フルコスト分析シート!$B$2,⑩平成28年度!$C$6:$AQ$86,40,FALSE))</f>
        <v>#N/A</v>
      </c>
      <c r="G43" s="524" t="e">
        <f>IF(②フルコスト分析シート!$B$2=0,"",VLOOKUP(②フルコスト分析シート!$B$2,⑨平成29年度!$C$6:$AQ$86,40,FALSE))</f>
        <v>#N/A</v>
      </c>
      <c r="H43" s="63" t="e">
        <f>IF(②フルコスト分析シート!$B$2=0,"",VLOOKUP(②フルコスト分析シート!$B$2,⑧平成30年度!$C$6:$AQ$86,40,FALSE))</f>
        <v>#N/A</v>
      </c>
      <c r="I43" s="166" t="e">
        <f>IF(②フルコスト分析シート!$B$2=0,"",VLOOKUP(②フルコスト分析シート!$B$2,⑦令和元年度!$C$6:$AQ$86,40,FALSE))</f>
        <v>#N/A</v>
      </c>
      <c r="J43" s="90"/>
      <c r="K43" s="452" t="str">
        <f>IFERROR(AVERAGEIF(D43:I43,"&lt;&gt;0"),"0")</f>
        <v>0</v>
      </c>
      <c r="L43" s="38"/>
      <c r="M43" s="38"/>
      <c r="N43" s="71" t="str">
        <f>IFERROR(ROUND(N23/N42*100,2),"0")</f>
        <v>0</v>
      </c>
      <c r="O43" s="72" t="str">
        <f>IFERROR(ROUND(O23/O42*100,2),"0")</f>
        <v>0</v>
      </c>
      <c r="P43" s="6" t="s">
        <v>45</v>
      </c>
      <c r="Q43" s="6"/>
      <c r="R43" s="6"/>
      <c r="S43" s="6"/>
      <c r="T43" s="6"/>
      <c r="U43" s="62" t="str">
        <f>IF(②フルコスト分析シート!$Q$2=0,"",VLOOKUP(②フルコスト分析シート!$Q$2,⑧平成30年度!$C$6:$AQ$86,40,FALSE))</f>
        <v/>
      </c>
    </row>
    <row r="44" spans="2:25" ht="25.5" customHeight="1" thickBot="1" x14ac:dyDescent="0.2">
      <c r="B44" s="700" t="s">
        <v>15</v>
      </c>
      <c r="C44" s="701"/>
      <c r="D44" s="527">
        <f>AVERAGE(⑫平成26年度!$AP$6:$AP$17,⑫平成26年度!$AP$21:$AP$72,⑫平成26年度!$AP$75:$AP$86)</f>
        <v>3.8499999999999996</v>
      </c>
      <c r="E44" s="528">
        <f>AVERAGE(⑪平成27年度!$AP$6:$AP$17,⑪平成27年度!$AP$21:$AP$72,⑪平成27年度!$AP$75:$AP$86)</f>
        <v>4.0808333333333344</v>
      </c>
      <c r="F44" s="529">
        <f>AVERAGE(⑩平成28年度!$AP$6:$AP$17,⑩平成28年度!$AP$21:$AP$72,⑩平成28年度!$AP$75:$AP$86)</f>
        <v>5.6908333333333339</v>
      </c>
      <c r="G44" s="530">
        <f>AVERAGE(⑨平成29年度!$AP$6:$AP$17,⑨平成29年度!$AP$21:$AP$72,⑨平成29年度!$AP$75:$AP$86)</f>
        <v>9.3138461538461534</v>
      </c>
      <c r="H44" s="528">
        <f>AVERAGE(⑧平成30年度!$AP$6:$AP$17,⑧平成30年度!$AP$21:$AP$72,⑧平成30年度!$AP$75:$AP$86)</f>
        <v>9.7046153846153835</v>
      </c>
      <c r="I44" s="531">
        <f>AVERAGE(⑦令和元年度!$AP$6:$AP$17,⑦令和元年度!$AP$21:$AP$72,⑦令和元年度!$AP$75:$AP$86)</f>
        <v>11.226153846153846</v>
      </c>
      <c r="J44" s="434"/>
      <c r="K44" s="435">
        <f>AVERAGEIF(D44:I44,"&lt;&gt;0")</f>
        <v>7.3110470085470096</v>
      </c>
      <c r="L44" s="38"/>
      <c r="M44" s="38"/>
      <c r="N44" s="44"/>
      <c r="O44" s="45"/>
      <c r="P44" s="6"/>
      <c r="Q44" s="6"/>
      <c r="R44" s="6"/>
      <c r="S44" s="6"/>
      <c r="T44" s="6"/>
      <c r="U44" s="433"/>
    </row>
    <row r="45" spans="2:25" ht="15" customHeight="1" thickBot="1" x14ac:dyDescent="0.2">
      <c r="B45" s="6"/>
      <c r="C45" s="436"/>
      <c r="D45" s="6"/>
      <c r="E45" s="6"/>
      <c r="F45" s="6"/>
      <c r="G45" s="6"/>
      <c r="H45" s="6"/>
      <c r="I45" s="6"/>
      <c r="J45" s="98"/>
      <c r="K45" s="43" t="s">
        <v>80</v>
      </c>
      <c r="L45" s="6"/>
      <c r="M45" s="98"/>
      <c r="N45" s="43"/>
      <c r="O45" s="43" t="s">
        <v>80</v>
      </c>
      <c r="P45" s="6"/>
      <c r="Q45" s="6"/>
      <c r="R45" s="6"/>
      <c r="S45" s="6"/>
      <c r="T45" s="6"/>
      <c r="U45" s="43" t="s">
        <v>80</v>
      </c>
    </row>
    <row r="46" spans="2:25" ht="25.5" customHeight="1" x14ac:dyDescent="0.15">
      <c r="B46" s="677" t="s">
        <v>16</v>
      </c>
      <c r="C46" s="678"/>
      <c r="D46" s="49" t="e">
        <f>IF(②フルコスト分析シート!$B$2=0,"",VLOOKUP(②フルコスト分析シート!$B$2,⑫平成26年度!$C$6:$AQ$86,36,FALSE))</f>
        <v>#N/A</v>
      </c>
      <c r="E46" s="453" t="e">
        <f>IF(②フルコスト分析シート!$B$2=0,"",VLOOKUP(②フルコスト分析シート!$B$2,⑪平成27年度!$C$6:$AQ$86,36,FALSE))</f>
        <v>#N/A</v>
      </c>
      <c r="F46" s="454" t="e">
        <f>IF(②フルコスト分析シート!$B$2=0,"",VLOOKUP(②フルコスト分析シート!$B$2,⑩平成28年度!$C$6:$AQ$86,36,FALSE))</f>
        <v>#N/A</v>
      </c>
      <c r="G46" s="525" t="e">
        <f>IF(②フルコスト分析シート!$B$2=0,"",VLOOKUP(②フルコスト分析シート!$B$2,⑨平成29年度!$C$6:$AQ$86,36,FALSE))</f>
        <v>#N/A</v>
      </c>
      <c r="H46" s="453" t="e">
        <f>IF(②フルコスト分析シート!$B$2=0,"",VLOOKUP(②フルコスト分析シート!$B$2,⑧平成30年度!$C$6:$AQ$86,36,FALSE))</f>
        <v>#N/A</v>
      </c>
      <c r="I46" s="53" t="e">
        <f>IF(②フルコスト分析シート!$B$2=0,"",VLOOKUP(②フルコスト分析シート!$B$2,⑦令和元年度!$C$6:$AQ$86,36,FALSE))</f>
        <v>#N/A</v>
      </c>
      <c r="J46" s="38"/>
      <c r="K46" s="455" t="str">
        <f>IFERROR(AVERAGEIF(D46:I46,"&lt;&gt;0"),"0")</f>
        <v>0</v>
      </c>
      <c r="L46" s="38"/>
      <c r="M46" s="38"/>
      <c r="N46" s="49" t="e">
        <f>N23/Y46</f>
        <v>#N/A</v>
      </c>
      <c r="O46" s="53" t="e">
        <f>O23/Y46</f>
        <v>#N/A</v>
      </c>
      <c r="P46" s="6" t="s">
        <v>47</v>
      </c>
      <c r="Q46" s="6"/>
      <c r="R46" s="6"/>
      <c r="S46" s="6"/>
      <c r="T46" s="6"/>
      <c r="U46" s="383" t="str">
        <f>IF(②フルコスト分析シート!$Q$2=0,"",VLOOKUP(②フルコスト分析シート!$Q$2,⑧平成30年度!$C$6:$AQ$86,36,FALSE))</f>
        <v/>
      </c>
      <c r="X46" s="74" t="s">
        <v>464</v>
      </c>
      <c r="Y46" s="73">
        <v>126309690</v>
      </c>
    </row>
    <row r="47" spans="2:25" ht="25.5" customHeight="1" thickBot="1" x14ac:dyDescent="0.2">
      <c r="B47" s="700" t="s">
        <v>17</v>
      </c>
      <c r="C47" s="701"/>
      <c r="D47" s="437">
        <f>AVERAGE(⑫平成26年度!$AL$6:$AL$17,⑫平成26年度!$AL$21:$AL$72,⑫平成26年度!$AL$75:$AL$86)</f>
        <v>120.97949999999999</v>
      </c>
      <c r="E47" s="438">
        <f>AVERAGE(⑪平成27年度!$AL$6:$AL$17,⑪平成27年度!$AL$21:$AL$72,⑪平成27年度!$AL$75:$AL$86)</f>
        <v>440.49902777777788</v>
      </c>
      <c r="F47" s="439">
        <f>AVERAGE(⑩平成28年度!$AL$6:$AL$17,⑩平成28年度!$AL$21:$AL$72,⑩平成28年度!$AL$75:$AL$86)</f>
        <v>416.36973333333344</v>
      </c>
      <c r="G47" s="526">
        <f>AVERAGE(⑨平成29年度!$AL$6:$AL$17,⑨平成29年度!$AL$21:$AL$72,⑨平成29年度!$AL$75:$AL$86)</f>
        <v>412.67276315789485</v>
      </c>
      <c r="H47" s="438">
        <f>AVERAGE(⑧平成30年度!$AL$6:$AL$17,⑧平成30年度!$AL$21:$AL$72,⑧平成30年度!$AL$75:$AL$86)</f>
        <v>422.42302631578951</v>
      </c>
      <c r="I47" s="574">
        <f>AVERAGE(⑦令和元年度!$AL$6:$AL$17,⑦令和元年度!$AL$21:$AL$72,⑦令和元年度!$AL$75:$AL$86)</f>
        <v>433.35486842105286</v>
      </c>
      <c r="J47" s="38"/>
      <c r="K47" s="441">
        <f>AVERAGEIF(D47:I47,"&lt;&gt;0")</f>
        <v>374.38315316764141</v>
      </c>
      <c r="L47" s="38"/>
      <c r="M47" s="38"/>
      <c r="N47" s="44"/>
      <c r="O47" s="45"/>
      <c r="P47" s="6"/>
      <c r="Q47" s="6"/>
      <c r="R47" s="6"/>
      <c r="S47" s="6"/>
      <c r="T47" s="6"/>
      <c r="U47" s="433"/>
    </row>
    <row r="48" spans="2:25" ht="15" customHeight="1" thickBot="1" x14ac:dyDescent="0.2">
      <c r="B48" s="6"/>
      <c r="C48" s="6"/>
      <c r="D48" s="6"/>
      <c r="E48" s="6"/>
      <c r="F48" s="6"/>
      <c r="G48" s="6"/>
      <c r="H48" s="6"/>
      <c r="I48" s="559"/>
      <c r="J48" s="98"/>
      <c r="K48" s="43" t="s">
        <v>80</v>
      </c>
      <c r="L48" s="6"/>
      <c r="M48" s="98"/>
      <c r="N48" s="43"/>
      <c r="O48" s="43" t="s">
        <v>80</v>
      </c>
      <c r="P48" s="6"/>
      <c r="Q48" s="6"/>
      <c r="R48" s="6"/>
      <c r="S48" s="6"/>
      <c r="T48" s="6"/>
      <c r="U48" s="43" t="s">
        <v>80</v>
      </c>
    </row>
    <row r="49" spans="2:21" ht="25.5" customHeight="1" x14ac:dyDescent="0.15">
      <c r="B49" s="677" t="s">
        <v>18</v>
      </c>
      <c r="C49" s="678"/>
      <c r="D49" s="378" t="e">
        <f>IF(②フルコスト分析シート!$B$2=0,"",VLOOKUP(②フルコスト分析シート!$B$2,⑫平成26年度!$C$6:$AQ$86,37,FALSE))</f>
        <v>#N/A</v>
      </c>
      <c r="E49" s="379" t="e">
        <f>IF(②フルコスト分析シート!$B$2=0,"",VLOOKUP(②フルコスト分析シート!$B$2,⑪平成27年度!$C$6:$AQ$86,37,FALSE))</f>
        <v>#N/A</v>
      </c>
      <c r="F49" s="380" t="e">
        <f>IF(②フルコスト分析シート!$B$2=0,"",VLOOKUP(②フルコスト分析シート!$B$2,⑩平成28年度!$C$6:$AQ$86,37,FALSE))</f>
        <v>#N/A</v>
      </c>
      <c r="G49" s="518" t="e">
        <f>IF(②フルコスト分析シート!$B$2=0,"",VLOOKUP(②フルコスト分析シート!$B$2,⑨平成29年度!$C$6:$AQ$86,37,FALSE))</f>
        <v>#N/A</v>
      </c>
      <c r="H49" s="379" t="e">
        <f>IF(②フルコスト分析シート!$B$2=0,"",VLOOKUP(②フルコスト分析シート!$B$2,⑧平成30年度!$C$6:$AQ$86,37,FALSE))</f>
        <v>#N/A</v>
      </c>
      <c r="I49" s="572" t="e">
        <f>IF(②フルコスト分析シート!$B$2=0,"",VLOOKUP(②フルコスト分析シート!$B$2,⑦令和元年度!$C$6:$AQ$86,37,FALSE))</f>
        <v>#N/A</v>
      </c>
      <c r="J49" s="101"/>
      <c r="K49" s="382" t="str">
        <f>IFERROR(AVERAGEIF(D49:I49,"&lt;&gt;0"),"0")</f>
        <v>0</v>
      </c>
      <c r="L49" s="38"/>
      <c r="M49" s="38"/>
      <c r="N49" s="49" t="e">
        <f>N23/365</f>
        <v>#N/A</v>
      </c>
      <c r="O49" s="53" t="e">
        <f>O23/365</f>
        <v>#N/A</v>
      </c>
      <c r="P49" s="6" t="s">
        <v>590</v>
      </c>
      <c r="Q49" s="6"/>
      <c r="R49" s="6"/>
      <c r="S49" s="6"/>
      <c r="T49" s="6"/>
      <c r="U49" s="445" t="str">
        <f>IF(②フルコスト分析シート!$Q$2=0,"",VLOOKUP(②フルコスト分析シート!$Q$2,⑧平成30年度!$C$6:$AQ$86,37,FALSE))</f>
        <v/>
      </c>
    </row>
    <row r="50" spans="2:21" ht="25.5" customHeight="1" thickBot="1" x14ac:dyDescent="0.2">
      <c r="B50" s="700" t="s">
        <v>19</v>
      </c>
      <c r="C50" s="701"/>
      <c r="D50" s="437">
        <f>AVERAGE(⑫平成26年度!$AM$6:$AM$17,⑫平成26年度!$AM$21:$AM$72,⑫平成26年度!$AM$75:$AM$86)</f>
        <v>43388639.974358976</v>
      </c>
      <c r="E50" s="438">
        <f>AVERAGE(⑪平成27年度!$AM$6:$AM$17,⑪平成27年度!$AM$21:$AM$72,⑪平成27年度!$AM$75:$AM$86)</f>
        <v>155240137.47887325</v>
      </c>
      <c r="F50" s="439">
        <f>AVERAGE(⑩平成28年度!$AM$6:$AM$17,⑩平成28年度!$AM$21:$AM$72,⑩平成28年度!$AM$75:$AM$86)</f>
        <v>146885255.72972974</v>
      </c>
      <c r="G50" s="526">
        <f>AVERAGE(⑨平成29年度!$AM$6:$AM$17,⑨平成29年度!$AM$21:$AM$72,⑨平成29年度!$AM$75:$AM$86)</f>
        <v>145284336.41333333</v>
      </c>
      <c r="H50" s="438">
        <f>AVERAGE(⑧平成30年度!$AM$6:$AM$17,⑧平成30年度!$AM$21:$AM$72,⑧平成30年度!$AM$75:$AM$86)</f>
        <v>148445063.74666667</v>
      </c>
      <c r="I50" s="440">
        <f>AVERAGE(⑦令和元年度!$AM$6:$AM$17,⑦令和元年度!$AM$21:$AM$72,⑦令和元年度!$AM$75:$AM$86)</f>
        <v>151514312.74666667</v>
      </c>
      <c r="J50" s="38"/>
      <c r="K50" s="416">
        <f>AVERAGEIF(D50:I50,"&lt;&gt;0")</f>
        <v>131792957.68160476</v>
      </c>
      <c r="L50" s="38"/>
      <c r="M50" s="38"/>
      <c r="N50" s="44"/>
      <c r="O50" s="45"/>
      <c r="P50" s="6"/>
      <c r="Q50" s="6"/>
      <c r="R50" s="6"/>
      <c r="S50" s="6"/>
      <c r="T50" s="6"/>
      <c r="U50" s="433"/>
    </row>
    <row r="51" spans="2:21" ht="15" customHeight="1" thickBot="1" x14ac:dyDescent="0.2">
      <c r="B51" s="6"/>
      <c r="C51" s="6"/>
      <c r="D51" s="6"/>
      <c r="E51" s="6"/>
      <c r="F51" s="6"/>
      <c r="G51" s="6"/>
      <c r="H51" s="6"/>
      <c r="I51" s="560"/>
      <c r="J51" s="98"/>
      <c r="K51" s="43" t="s">
        <v>80</v>
      </c>
      <c r="L51" s="6"/>
      <c r="M51" s="98"/>
      <c r="N51" s="43"/>
      <c r="O51" s="43" t="s">
        <v>80</v>
      </c>
      <c r="P51" s="6"/>
      <c r="Q51" s="6"/>
      <c r="R51" s="6"/>
      <c r="S51" s="6"/>
      <c r="T51" s="6"/>
      <c r="U51" s="43" t="s">
        <v>80</v>
      </c>
    </row>
    <row r="52" spans="2:21" ht="25.5" customHeight="1" x14ac:dyDescent="0.15">
      <c r="B52" s="677" t="s">
        <v>20</v>
      </c>
      <c r="C52" s="678"/>
      <c r="D52" s="378" t="e">
        <f>IF(②フルコスト分析シート!$B$2=0,"",VLOOKUP(②フルコスト分析シート!$B$2,⑫平成26年度!$C$6:$AQ$86,38,FALSE))</f>
        <v>#N/A</v>
      </c>
      <c r="E52" s="379" t="e">
        <f>IF(②フルコスト分析シート!$B$2=0,"",VLOOKUP(②フルコスト分析シート!$B$2,⑪平成27年度!$C$6:$AQ$86,38,FALSE))</f>
        <v>#N/A</v>
      </c>
      <c r="F52" s="380" t="e">
        <f>IF(②フルコスト分析シート!$B$2=0,"",VLOOKUP(②フルコスト分析シート!$B$2,⑩平成28年度!$C$6:$AQ$86,38,FALSE))</f>
        <v>#N/A</v>
      </c>
      <c r="G52" s="518" t="e">
        <f>IF(②フルコスト分析シート!$B$2=0,"",VLOOKUP(②フルコスト分析シート!$B$2,⑨平成29年度!$C$6:$AQ$86,38,FALSE))</f>
        <v>#N/A</v>
      </c>
      <c r="H52" s="379" t="e">
        <f>IF(②フルコスト分析シート!$B$2=0,"",VLOOKUP(②フルコスト分析シート!$B$2,⑧平成30年度!$C$6:$AQ$86,38,FALSE))</f>
        <v>#N/A</v>
      </c>
      <c r="I52" s="381" t="e">
        <f>IF(②フルコスト分析シート!$B$2=0,"",VLOOKUP(②フルコスト分析シート!$B$2,⑦令和元年度!$C$6:$AQ$86,38,FALSE))</f>
        <v>#N/A</v>
      </c>
      <c r="J52" s="101"/>
      <c r="K52" s="382" t="str">
        <f>IFERROR(AVERAGEIF(D52:I52,"&lt;&gt;0"),"0")</f>
        <v>0</v>
      </c>
      <c r="L52" s="38"/>
      <c r="M52" s="38"/>
      <c r="N52" s="456" t="str">
        <f>IFERROR(N23/②フルコスト分析シート!M6,"0")</f>
        <v>0</v>
      </c>
      <c r="O52" s="457" t="str">
        <f>IFERROR(O23/②フルコスト分析シート!O6,"0")</f>
        <v>0</v>
      </c>
      <c r="P52" s="6" t="s">
        <v>48</v>
      </c>
      <c r="Q52" s="6"/>
      <c r="R52" s="6"/>
      <c r="S52" s="6"/>
      <c r="T52" s="6"/>
      <c r="U52" s="445" t="str">
        <f>IF(②フルコスト分析シート!$Q$2=0,"",VLOOKUP(②フルコスト分析シート!$Q$2,⑧平成30年度!$C$6:$AQ$86,38,FALSE))</f>
        <v/>
      </c>
    </row>
    <row r="53" spans="2:21" ht="25.5" customHeight="1" thickBot="1" x14ac:dyDescent="0.2">
      <c r="B53" s="700" t="s">
        <v>21</v>
      </c>
      <c r="C53" s="701"/>
      <c r="D53" s="437">
        <f>AVERAGE(⑫平成26年度!$AN$6:$AN$17,⑫平成26年度!$AN$21:$AN$72,⑫平成26年度!$AN$75:$AN$86)</f>
        <v>136580231.44444445</v>
      </c>
      <c r="E53" s="438">
        <f>AVERAGE(⑪平成27年度!$AN$6:$AN$17,⑪平成27年度!$AN$21:$AN$72,⑪平成27年度!$AN$75:$AN$86)</f>
        <v>113667554.63492064</v>
      </c>
      <c r="F53" s="439">
        <f>AVERAGE(⑩平成28年度!$AN$6:$AN$17,⑩平成28年度!$AN$21:$AN$72,⑩平成28年度!$AN$75:$AN$86)</f>
        <v>177959096.85074627</v>
      </c>
      <c r="G53" s="526">
        <f>AVERAGE(⑨平成29年度!$AN$6:$AN$17,⑨平成29年度!$AN$21:$AN$72,⑨平成29年度!$AN$75:$AN$86)</f>
        <v>163565417.70588234</v>
      </c>
      <c r="H53" s="438">
        <f>AVERAGE(⑧平成30年度!$AN$6:$AN$17,⑧平成30年度!$AN$21:$AN$72,⑧平成30年度!$AN$75:$AN$86)</f>
        <v>172530383.29411766</v>
      </c>
      <c r="I53" s="575">
        <f>AVERAGE(⑦令和元年度!$AN$6:$AN$17,⑦令和元年度!$AN$21:$AN$72,⑦令和元年度!$AN$75:$AN$86)</f>
        <v>210429326.66176471</v>
      </c>
      <c r="J53" s="38"/>
      <c r="K53" s="416">
        <f>AVERAGEIF(D53:I53,"&lt;&gt;0")</f>
        <v>162455335.09864601</v>
      </c>
      <c r="L53" s="38"/>
      <c r="M53" s="38"/>
      <c r="N53" s="44"/>
      <c r="O53" s="45"/>
      <c r="P53" s="6"/>
      <c r="Q53" s="6"/>
      <c r="R53" s="6"/>
      <c r="S53" s="6"/>
      <c r="T53" s="6"/>
      <c r="U53" s="433"/>
    </row>
    <row r="54" spans="2:21" x14ac:dyDescent="0.15">
      <c r="I54" s="561"/>
    </row>
  </sheetData>
  <mergeCells count="31">
    <mergeCell ref="Q2:U2"/>
    <mergeCell ref="B49:C49"/>
    <mergeCell ref="B50:C50"/>
    <mergeCell ref="B52:C52"/>
    <mergeCell ref="B53:C53"/>
    <mergeCell ref="B25:C25"/>
    <mergeCell ref="B47:C47"/>
    <mergeCell ref="B39:C39"/>
    <mergeCell ref="B40:C40"/>
    <mergeCell ref="B43:C43"/>
    <mergeCell ref="B44:C44"/>
    <mergeCell ref="B46:C46"/>
    <mergeCell ref="B42:C42"/>
    <mergeCell ref="B23:C23"/>
    <mergeCell ref="B27:C27"/>
    <mergeCell ref="B28:C28"/>
    <mergeCell ref="B38:C38"/>
    <mergeCell ref="F2:L2"/>
    <mergeCell ref="B2:D2"/>
    <mergeCell ref="B5:C5"/>
    <mergeCell ref="B6:B12"/>
    <mergeCell ref="B14:B21"/>
    <mergeCell ref="B29:C29"/>
    <mergeCell ref="B30:C30"/>
    <mergeCell ref="B31:C31"/>
    <mergeCell ref="B32:C32"/>
    <mergeCell ref="B33:C33"/>
    <mergeCell ref="B34:C34"/>
    <mergeCell ref="B35:C35"/>
    <mergeCell ref="B36:C36"/>
    <mergeCell ref="B24:C24"/>
  </mergeCells>
  <phoneticPr fontId="2"/>
  <pageMargins left="0.7" right="0.7" top="0.75" bottom="0.75" header="0.3" footer="0.3"/>
  <pageSetup paperSize="9" scale="40" orientation="landscape" r:id="rId1"/>
  <rowBreaks count="1" manualBreakCount="1">
    <brk id="42" max="20" man="1"/>
  </rowBreaks>
  <colBreaks count="1" manualBreakCount="1">
    <brk id="10" max="5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70" zoomScaleNormal="85" zoomScaleSheetLayoutView="70" workbookViewId="0">
      <selection activeCell="E60" sqref="E60"/>
    </sheetView>
  </sheetViews>
  <sheetFormatPr defaultRowHeight="13.5" x14ac:dyDescent="0.15"/>
  <cols>
    <col min="1" max="1" width="6.5" style="8" customWidth="1"/>
    <col min="2" max="2" width="14.875" style="8" customWidth="1"/>
    <col min="3" max="6" width="45.25" style="8" customWidth="1"/>
    <col min="7" max="7" width="45.125" style="8" customWidth="1"/>
    <col min="8" max="8" width="45.25" style="8" customWidth="1"/>
    <col min="9" max="16384" width="9" style="8"/>
  </cols>
  <sheetData>
    <row r="1" spans="1:8" ht="14.25" thickBot="1" x14ac:dyDescent="0.2">
      <c r="A1" s="719" t="s">
        <v>49</v>
      </c>
      <c r="B1" s="719"/>
      <c r="C1" s="719"/>
      <c r="E1" s="9"/>
      <c r="F1" s="9"/>
      <c r="G1" s="9"/>
      <c r="H1" s="8" t="s">
        <v>550</v>
      </c>
    </row>
    <row r="2" spans="1:8" ht="16.5" thickBot="1" x14ac:dyDescent="0.2">
      <c r="A2" s="720"/>
      <c r="B2" s="721"/>
      <c r="C2" s="10" t="s">
        <v>50</v>
      </c>
      <c r="D2" s="10" t="s">
        <v>51</v>
      </c>
      <c r="E2" s="10" t="s">
        <v>52</v>
      </c>
      <c r="F2" s="10" t="s">
        <v>59</v>
      </c>
      <c r="G2" s="10" t="s">
        <v>199</v>
      </c>
      <c r="H2" s="580" t="s">
        <v>540</v>
      </c>
    </row>
    <row r="3" spans="1:8" x14ac:dyDescent="0.15">
      <c r="A3" s="722" t="s">
        <v>53</v>
      </c>
      <c r="B3" s="724" t="s">
        <v>54</v>
      </c>
      <c r="C3" s="11" t="s">
        <v>265</v>
      </c>
      <c r="D3" s="11" t="s">
        <v>266</v>
      </c>
      <c r="E3" s="11" t="s">
        <v>267</v>
      </c>
      <c r="F3" s="11" t="s">
        <v>268</v>
      </c>
      <c r="G3" s="11" t="s">
        <v>200</v>
      </c>
      <c r="H3" s="581" t="s">
        <v>541</v>
      </c>
    </row>
    <row r="4" spans="1:8" x14ac:dyDescent="0.15">
      <c r="A4" s="723"/>
      <c r="B4" s="725"/>
      <c r="C4" s="12" t="s">
        <v>269</v>
      </c>
      <c r="D4" s="13" t="s">
        <v>270</v>
      </c>
      <c r="E4" s="13" t="s">
        <v>271</v>
      </c>
      <c r="F4" s="13" t="s">
        <v>272</v>
      </c>
      <c r="G4" s="13" t="s">
        <v>203</v>
      </c>
      <c r="H4" s="582" t="s">
        <v>542</v>
      </c>
    </row>
    <row r="5" spans="1:8" x14ac:dyDescent="0.15">
      <c r="A5" s="723"/>
      <c r="B5" s="725"/>
      <c r="C5" s="58">
        <v>4985112</v>
      </c>
      <c r="D5" s="14">
        <v>4997460</v>
      </c>
      <c r="E5" s="14">
        <v>5008728</v>
      </c>
      <c r="F5" s="14">
        <v>5003628</v>
      </c>
      <c r="G5" s="14">
        <f>417230*12</f>
        <v>5006760</v>
      </c>
      <c r="H5" s="14">
        <f>417683*12</f>
        <v>5012196</v>
      </c>
    </row>
    <row r="6" spans="1:8" x14ac:dyDescent="0.15">
      <c r="A6" s="723"/>
      <c r="B6" s="726" t="s">
        <v>55</v>
      </c>
      <c r="C6" s="15" t="s">
        <v>273</v>
      </c>
      <c r="D6" s="15" t="s">
        <v>274</v>
      </c>
      <c r="E6" s="15" t="s">
        <v>275</v>
      </c>
      <c r="F6" s="15" t="s">
        <v>276</v>
      </c>
      <c r="G6" s="15" t="s">
        <v>202</v>
      </c>
      <c r="H6" s="583" t="s">
        <v>543</v>
      </c>
    </row>
    <row r="7" spans="1:8" x14ac:dyDescent="0.15">
      <c r="A7" s="723"/>
      <c r="B7" s="725"/>
      <c r="C7" s="13" t="s">
        <v>277</v>
      </c>
      <c r="D7" s="13" t="s">
        <v>278</v>
      </c>
      <c r="E7" s="13" t="s">
        <v>279</v>
      </c>
      <c r="F7" s="13" t="s">
        <v>280</v>
      </c>
      <c r="G7" s="13" t="s">
        <v>204</v>
      </c>
      <c r="H7" s="582" t="s">
        <v>544</v>
      </c>
    </row>
    <row r="8" spans="1:8" ht="13.5" customHeight="1" x14ac:dyDescent="0.15">
      <c r="A8" s="723"/>
      <c r="B8" s="725"/>
      <c r="C8" s="16">
        <v>195566.66666666666</v>
      </c>
      <c r="D8" s="17">
        <v>206633.33333333334</v>
      </c>
      <c r="E8" s="17">
        <v>210033.33333333334</v>
      </c>
      <c r="F8" s="17">
        <v>214033.33333333334</v>
      </c>
      <c r="G8" s="17">
        <f>652600*2/6</f>
        <v>217533.33333333334</v>
      </c>
      <c r="H8" s="17">
        <f>679100*2/6</f>
        <v>226366.66666666666</v>
      </c>
    </row>
    <row r="9" spans="1:8" x14ac:dyDescent="0.15">
      <c r="A9" s="723"/>
      <c r="B9" s="725"/>
      <c r="C9" s="11" t="s">
        <v>281</v>
      </c>
      <c r="D9" s="11" t="s">
        <v>282</v>
      </c>
      <c r="E9" s="11" t="s">
        <v>283</v>
      </c>
      <c r="F9" s="11" t="s">
        <v>284</v>
      </c>
      <c r="G9" s="11" t="s">
        <v>201</v>
      </c>
      <c r="H9" s="581" t="s">
        <v>545</v>
      </c>
    </row>
    <row r="10" spans="1:8" ht="14.25" thickBot="1" x14ac:dyDescent="0.2">
      <c r="A10" s="723"/>
      <c r="B10" s="727"/>
      <c r="C10" s="18">
        <v>691600</v>
      </c>
      <c r="D10" s="18">
        <v>658600</v>
      </c>
      <c r="E10" s="18">
        <v>704800</v>
      </c>
      <c r="F10" s="18">
        <v>681500</v>
      </c>
      <c r="G10" s="18">
        <v>710000</v>
      </c>
      <c r="H10" s="584">
        <v>687700</v>
      </c>
    </row>
    <row r="11" spans="1:8" ht="14.25" thickBot="1" x14ac:dyDescent="0.2">
      <c r="A11" s="19" t="s">
        <v>56</v>
      </c>
      <c r="B11" s="20"/>
      <c r="C11" s="21">
        <v>5872278.666666667</v>
      </c>
      <c r="D11" s="21">
        <v>5862693.333333333</v>
      </c>
      <c r="E11" s="21">
        <v>5923561.333333333</v>
      </c>
      <c r="F11" s="21">
        <v>5899161.333333333</v>
      </c>
      <c r="G11" s="21">
        <f>SUM(G5,G8,G10)</f>
        <v>5934293.333333333</v>
      </c>
      <c r="H11" s="585">
        <f>SUM(H5,H8,H10)</f>
        <v>5926262.666666667</v>
      </c>
    </row>
    <row r="12" spans="1:8" x14ac:dyDescent="0.15">
      <c r="A12" s="728" t="s">
        <v>57</v>
      </c>
      <c r="B12" s="729"/>
      <c r="C12" s="22" t="s">
        <v>208</v>
      </c>
      <c r="D12" s="22" t="s">
        <v>209</v>
      </c>
      <c r="E12" s="22" t="s">
        <v>210</v>
      </c>
      <c r="F12" s="22" t="s">
        <v>211</v>
      </c>
      <c r="G12" s="533" t="s">
        <v>489</v>
      </c>
      <c r="H12" s="533" t="s">
        <v>546</v>
      </c>
    </row>
    <row r="13" spans="1:8" x14ac:dyDescent="0.15">
      <c r="A13" s="730"/>
      <c r="B13" s="731"/>
      <c r="C13" s="23" t="s">
        <v>285</v>
      </c>
      <c r="D13" s="23" t="s">
        <v>205</v>
      </c>
      <c r="E13" s="23" t="s">
        <v>206</v>
      </c>
      <c r="F13" s="161" t="s">
        <v>207</v>
      </c>
      <c r="G13" s="23" t="s">
        <v>492</v>
      </c>
      <c r="H13" s="588" t="s">
        <v>549</v>
      </c>
    </row>
    <row r="14" spans="1:8" ht="15" thickBot="1" x14ac:dyDescent="0.2">
      <c r="A14" s="732"/>
      <c r="B14" s="733"/>
      <c r="C14" s="24">
        <v>213829.68579909674</v>
      </c>
      <c r="D14" s="24">
        <v>748846.5474509761</v>
      </c>
      <c r="E14" s="24">
        <v>614589.84409023938</v>
      </c>
      <c r="F14" s="24">
        <v>324996.4544508793</v>
      </c>
      <c r="G14" s="535">
        <f>401006909542/549164</f>
        <v>730213.39625685592</v>
      </c>
      <c r="H14" s="589">
        <f>314619725969/548762</f>
        <v>573326.37093858537</v>
      </c>
    </row>
    <row r="15" spans="1:8" x14ac:dyDescent="0.15">
      <c r="A15" s="713" t="s">
        <v>58</v>
      </c>
      <c r="B15" s="714"/>
      <c r="C15" s="11" t="s">
        <v>286</v>
      </c>
      <c r="D15" s="11" t="s">
        <v>287</v>
      </c>
      <c r="E15" s="11" t="s">
        <v>288</v>
      </c>
      <c r="F15" s="11" t="s">
        <v>289</v>
      </c>
      <c r="G15" s="534" t="s">
        <v>490</v>
      </c>
      <c r="H15" s="586" t="s">
        <v>547</v>
      </c>
    </row>
    <row r="16" spans="1:8" x14ac:dyDescent="0.15">
      <c r="A16" s="715"/>
      <c r="B16" s="716"/>
      <c r="C16" s="13" t="s">
        <v>290</v>
      </c>
      <c r="D16" s="13" t="s">
        <v>291</v>
      </c>
      <c r="E16" s="13" t="s">
        <v>292</v>
      </c>
      <c r="F16" s="13" t="s">
        <v>293</v>
      </c>
      <c r="G16" s="23" t="s">
        <v>491</v>
      </c>
      <c r="H16" s="587" t="s">
        <v>548</v>
      </c>
    </row>
    <row r="17" spans="1:8" ht="14.25" thickBot="1" x14ac:dyDescent="0.2">
      <c r="A17" s="717"/>
      <c r="B17" s="718"/>
      <c r="C17" s="25">
        <v>413266.66666666669</v>
      </c>
      <c r="D17" s="26">
        <v>420066.66666666669</v>
      </c>
      <c r="E17" s="26">
        <v>428066.66666666669</v>
      </c>
      <c r="F17" s="26">
        <v>435066.66666666669</v>
      </c>
      <c r="G17" s="535">
        <f>679100*4/6</f>
        <v>452733.33333333331</v>
      </c>
      <c r="H17" s="590">
        <f>680100*4/6</f>
        <v>453400</v>
      </c>
    </row>
    <row r="21" spans="1:8" x14ac:dyDescent="0.15">
      <c r="A21" s="712"/>
      <c r="B21" s="712"/>
      <c r="C21" s="66" t="s">
        <v>122</v>
      </c>
      <c r="D21" s="66" t="s">
        <v>123</v>
      </c>
      <c r="E21" s="66" t="s">
        <v>124</v>
      </c>
      <c r="F21" s="242" t="s">
        <v>212</v>
      </c>
      <c r="G21" s="66" t="s">
        <v>294</v>
      </c>
      <c r="H21" s="242" t="s">
        <v>295</v>
      </c>
    </row>
    <row r="22" spans="1:8" x14ac:dyDescent="0.15">
      <c r="A22" s="712" t="s">
        <v>119</v>
      </c>
      <c r="B22" s="712"/>
      <c r="C22" s="67" t="e">
        <f>⑬計算シート!D6*⑭人にかかるコストの基礎データ!C11</f>
        <v>#N/A</v>
      </c>
      <c r="D22" s="67" t="e">
        <f>⑬計算シート!E6*⑭人にかかるコストの基礎データ!D11</f>
        <v>#N/A</v>
      </c>
      <c r="E22" s="67" t="e">
        <f>⑬計算シート!F6*⑭人にかかるコストの基礎データ!E11</f>
        <v>#N/A</v>
      </c>
      <c r="F22" s="67" t="e">
        <f>⑬計算シート!G6*⑭人にかかるコストの基礎データ!F11</f>
        <v>#N/A</v>
      </c>
      <c r="G22" s="67" t="e">
        <f>⑬計算シート!H6*⑭人にかかるコストの基礎データ!G11</f>
        <v>#N/A</v>
      </c>
      <c r="H22" s="67" t="e">
        <f>⑬計算シート!I6*⑭人にかかるコストの基礎データ!H11</f>
        <v>#N/A</v>
      </c>
    </row>
    <row r="23" spans="1:8" x14ac:dyDescent="0.15">
      <c r="A23" s="712" t="s">
        <v>120</v>
      </c>
      <c r="B23" s="712"/>
      <c r="C23" s="67" t="e">
        <f>⑬計算シート!D6*⑭人にかかるコストの基礎データ!C14</f>
        <v>#N/A</v>
      </c>
      <c r="D23" s="67" t="e">
        <f>⑬計算シート!E6*⑭人にかかるコストの基礎データ!D14</f>
        <v>#N/A</v>
      </c>
      <c r="E23" s="67" t="e">
        <f>⑬計算シート!F6*⑭人にかかるコストの基礎データ!E14</f>
        <v>#N/A</v>
      </c>
      <c r="F23" s="67" t="e">
        <f>⑬計算シート!G6*⑭人にかかるコストの基礎データ!F14</f>
        <v>#N/A</v>
      </c>
      <c r="G23" s="67" t="e">
        <f>⑬計算シート!H6*⑭人にかかるコストの基礎データ!G14</f>
        <v>#N/A</v>
      </c>
      <c r="H23" s="67" t="e">
        <f>⑬計算シート!I6*⑭人にかかるコストの基礎データ!H14</f>
        <v>#N/A</v>
      </c>
    </row>
    <row r="24" spans="1:8" x14ac:dyDescent="0.15">
      <c r="A24" s="712" t="s">
        <v>121</v>
      </c>
      <c r="B24" s="712"/>
      <c r="C24" s="67" t="e">
        <f>⑬計算シート!D6*⑭人にかかるコストの基礎データ!C17</f>
        <v>#N/A</v>
      </c>
      <c r="D24" s="67" t="e">
        <f>⑬計算シート!E6*⑭人にかかるコストの基礎データ!D17</f>
        <v>#N/A</v>
      </c>
      <c r="E24" s="67" t="e">
        <f>⑬計算シート!F6*⑭人にかかるコストの基礎データ!E17</f>
        <v>#N/A</v>
      </c>
      <c r="F24" s="67" t="e">
        <f>⑬計算シート!G6*⑭人にかかるコストの基礎データ!F17</f>
        <v>#N/A</v>
      </c>
      <c r="G24" s="67" t="e">
        <f>⑬計算シート!H6*⑭人にかかるコストの基礎データ!G17</f>
        <v>#N/A</v>
      </c>
      <c r="H24" s="67" t="e">
        <f>⑬計算シート!I6*⑭人にかかるコストの基礎データ!H17</f>
        <v>#N/A</v>
      </c>
    </row>
    <row r="25" spans="1:8" x14ac:dyDescent="0.15">
      <c r="A25" s="712" t="s">
        <v>125</v>
      </c>
      <c r="B25" s="712"/>
      <c r="C25" s="67" t="e">
        <f>SUM(C22:C24)</f>
        <v>#N/A</v>
      </c>
      <c r="D25" s="67" t="e">
        <f>SUM(D22:D24)</f>
        <v>#N/A</v>
      </c>
      <c r="E25" s="67" t="e">
        <f t="shared" ref="E25:F25" si="0">SUM(E22:E24)</f>
        <v>#N/A</v>
      </c>
      <c r="F25" s="67" t="e">
        <f t="shared" si="0"/>
        <v>#N/A</v>
      </c>
      <c r="G25" s="67" t="e">
        <f t="shared" ref="G25:H25" si="1">SUM(G22:G24)</f>
        <v>#N/A</v>
      </c>
      <c r="H25" s="67" t="e">
        <f t="shared" si="1"/>
        <v>#N/A</v>
      </c>
    </row>
  </sheetData>
  <mergeCells count="12">
    <mergeCell ref="A15:B17"/>
    <mergeCell ref="A1:C1"/>
    <mergeCell ref="A2:B2"/>
    <mergeCell ref="A3:A10"/>
    <mergeCell ref="B3:B5"/>
    <mergeCell ref="B6:B10"/>
    <mergeCell ref="A12:B14"/>
    <mergeCell ref="A22:B22"/>
    <mergeCell ref="A23:B23"/>
    <mergeCell ref="A24:B24"/>
    <mergeCell ref="A25:B25"/>
    <mergeCell ref="A21:B21"/>
  </mergeCells>
  <phoneticPr fontId="2"/>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view="pageBreakPreview" zoomScale="70" zoomScaleNormal="100" zoomScaleSheetLayoutView="70" workbookViewId="0">
      <pane xSplit="4" ySplit="5" topLeftCell="E6" activePane="bottomRight" state="frozen"/>
      <selection pane="topRight" activeCell="E1" sqref="E1"/>
      <selection pane="bottomLeft" activeCell="A6" sqref="A6"/>
      <selection pane="bottomRight" activeCell="B2" sqref="B2:K2"/>
    </sheetView>
  </sheetViews>
  <sheetFormatPr defaultRowHeight="13.5" outlineLevelRow="1" x14ac:dyDescent="0.15"/>
  <cols>
    <col min="1" max="1" width="6" customWidth="1"/>
    <col min="2" max="2" width="2.625" customWidth="1"/>
    <col min="3" max="3" width="3.75" customWidth="1"/>
    <col min="4" max="4" width="32" customWidth="1"/>
    <col min="5" max="11" width="13.5" customWidth="1"/>
    <col min="12" max="12" width="2.625" customWidth="1"/>
    <col min="13" max="13" width="13.5" customWidth="1"/>
    <col min="14" max="14" width="2.625" customWidth="1"/>
    <col min="15" max="15" width="13.5" customWidth="1"/>
    <col min="16" max="16" width="15.5" customWidth="1"/>
    <col min="17" max="17" width="13.5" customWidth="1"/>
    <col min="18" max="18" width="2.625" customWidth="1"/>
    <col min="19" max="19" width="13.5" customWidth="1"/>
    <col min="20" max="20" width="2.75" customWidth="1"/>
    <col min="21" max="21" width="13.5" customWidth="1"/>
  </cols>
  <sheetData>
    <row r="1" spans="2:21" ht="15" thickBot="1" x14ac:dyDescent="0.2">
      <c r="B1" s="28" t="s">
        <v>213</v>
      </c>
      <c r="M1" s="28" t="s">
        <v>147</v>
      </c>
      <c r="N1" s="28"/>
      <c r="Q1" s="28" t="s">
        <v>74</v>
      </c>
    </row>
    <row r="2" spans="2:21" ht="24" customHeight="1" thickTop="1" thickBot="1" x14ac:dyDescent="0.2">
      <c r="B2" s="645" t="s">
        <v>591</v>
      </c>
      <c r="C2" s="646"/>
      <c r="D2" s="646"/>
      <c r="E2" s="646"/>
      <c r="F2" s="646"/>
      <c r="G2" s="646"/>
      <c r="H2" s="646"/>
      <c r="I2" s="646"/>
      <c r="J2" s="646"/>
      <c r="K2" s="647"/>
      <c r="L2" s="103"/>
      <c r="M2" s="642" t="str">
        <f>IF(OR($B$2=0,$B$2=①事業一覧!$C$5),"自動入力",VLOOKUP($B$2,①事業一覧!$C$6:$K$86,9,FALSE))</f>
        <v>自動入力</v>
      </c>
      <c r="N2" s="643"/>
      <c r="O2" s="644"/>
      <c r="P2" s="27"/>
      <c r="Q2" s="623"/>
      <c r="R2" s="624"/>
      <c r="S2" s="624"/>
      <c r="T2" s="624"/>
      <c r="U2" s="625"/>
    </row>
    <row r="3" spans="2:21" ht="15.75" customHeight="1" x14ac:dyDescent="0.15">
      <c r="O3" s="31"/>
      <c r="S3" s="31"/>
    </row>
    <row r="4" spans="2:21" ht="55.5" customHeight="1" x14ac:dyDescent="0.15">
      <c r="B4" s="629"/>
      <c r="C4" s="630"/>
      <c r="D4" s="631"/>
      <c r="E4" s="125" t="s">
        <v>552</v>
      </c>
      <c r="F4" s="355" t="s">
        <v>553</v>
      </c>
      <c r="G4" s="355" t="s">
        <v>554</v>
      </c>
      <c r="H4" s="355" t="s">
        <v>555</v>
      </c>
      <c r="I4" s="505" t="s">
        <v>556</v>
      </c>
      <c r="J4" s="552" t="s">
        <v>521</v>
      </c>
      <c r="K4" s="109" t="s">
        <v>525</v>
      </c>
      <c r="L4" s="183"/>
      <c r="M4" s="110" t="s">
        <v>509</v>
      </c>
      <c r="N4" s="185"/>
      <c r="O4" s="199" t="s">
        <v>62</v>
      </c>
      <c r="P4" s="277" t="s">
        <v>527</v>
      </c>
      <c r="Q4" s="110" t="s">
        <v>510</v>
      </c>
      <c r="R4" s="121"/>
      <c r="S4" s="261" t="s">
        <v>528</v>
      </c>
    </row>
    <row r="5" spans="2:21" ht="15" customHeight="1" x14ac:dyDescent="0.15">
      <c r="B5" s="632"/>
      <c r="C5" s="633"/>
      <c r="D5" s="634"/>
      <c r="E5" s="353"/>
      <c r="F5" s="353"/>
      <c r="G5" s="354"/>
      <c r="H5" s="354"/>
      <c r="I5" s="504"/>
      <c r="J5" s="551"/>
      <c r="K5" s="354"/>
      <c r="L5" s="183"/>
      <c r="M5" s="112" t="s">
        <v>69</v>
      </c>
      <c r="N5" s="185"/>
      <c r="O5" s="200" t="s">
        <v>70</v>
      </c>
      <c r="P5" s="198" t="s">
        <v>71</v>
      </c>
      <c r="Q5" s="112" t="s">
        <v>72</v>
      </c>
      <c r="R5" s="121"/>
      <c r="S5" s="262" t="s">
        <v>73</v>
      </c>
    </row>
    <row r="6" spans="2:21" ht="24" customHeight="1" thickBot="1" x14ac:dyDescent="0.2">
      <c r="B6" s="113" t="s">
        <v>214</v>
      </c>
      <c r="C6" s="114"/>
      <c r="D6" s="114"/>
      <c r="E6" s="228" t="str">
        <f>IF(⑬計算シート!D24=0,"",⑬計算シート!D24)</f>
        <v/>
      </c>
      <c r="F6" s="228" t="str">
        <f>IF(⑬計算シート!E24=0,"",⑬計算シート!E24)</f>
        <v/>
      </c>
      <c r="G6" s="228" t="str">
        <f>IF(⑬計算シート!F24=0,"",⑬計算シート!F24)</f>
        <v/>
      </c>
      <c r="H6" s="228" t="str">
        <f>IF(⑬計算シート!G24=0,"",⑬計算シート!G24)</f>
        <v/>
      </c>
      <c r="I6" s="228" t="str">
        <f>IF(⑬計算シート!H24=0,"",⑬計算シート!H24)</f>
        <v/>
      </c>
      <c r="J6" s="228" t="str">
        <f>IF(⑬計算シート!I24=0,"",⑬計算シート!I24)</f>
        <v/>
      </c>
      <c r="K6" s="212" t="str">
        <f>IF(⑬計算シート!K24=0,"",⑬計算シート!K24)</f>
        <v>0</v>
      </c>
      <c r="L6" s="175"/>
      <c r="M6" s="126">
        <f t="shared" ref="M6:O6" si="0">SUM(M7:M8)</f>
        <v>0</v>
      </c>
      <c r="N6" s="186"/>
      <c r="O6" s="201">
        <f t="shared" si="0"/>
        <v>0</v>
      </c>
      <c r="P6" s="211" t="str">
        <f>IFERROR(O6-I6,"0.0")</f>
        <v>0.0</v>
      </c>
      <c r="Q6" s="221">
        <f>O6-M6</f>
        <v>0</v>
      </c>
      <c r="S6" s="361" t="str">
        <f>IF(⑬計算シート!U24=0,"",⑬計算シート!U24)</f>
        <v/>
      </c>
      <c r="U6" s="475"/>
    </row>
    <row r="7" spans="2:21" ht="24" customHeight="1" x14ac:dyDescent="0.15">
      <c r="B7" s="637"/>
      <c r="C7" s="115" t="s">
        <v>65</v>
      </c>
      <c r="D7" s="116"/>
      <c r="E7" s="228" t="str">
        <f>IFERROR(IF(⑬計算シート!D6=0,"",⑬計算シート!D6),"")</f>
        <v/>
      </c>
      <c r="F7" s="228" t="str">
        <f>IFERROR(IF(⑬計算シート!E6=0,"",⑬計算シート!E6),"")</f>
        <v/>
      </c>
      <c r="G7" s="228" t="str">
        <f>IFERROR(IF(⑬計算シート!F6=0,"",⑬計算シート!F6),"")</f>
        <v/>
      </c>
      <c r="H7" s="228" t="str">
        <f>IFERROR(IF(⑬計算シート!G6=0,"",⑬計算シート!G6),"")</f>
        <v/>
      </c>
      <c r="I7" s="228" t="str">
        <f>IFERROR(IF(⑬計算シート!H6=0,"",⑬計算シート!H6),"")</f>
        <v/>
      </c>
      <c r="J7" s="228" t="str">
        <f>IFERROR(IF(⑬計算シート!I6=0,"",⑬計算シート!I6),"")</f>
        <v/>
      </c>
      <c r="K7" s="212" t="str">
        <f>IF(⑬計算シート!K6=0,"",⑬計算シート!K6)</f>
        <v>0</v>
      </c>
      <c r="L7" s="175"/>
      <c r="M7" s="193"/>
      <c r="N7" s="175"/>
      <c r="O7" s="193"/>
      <c r="P7" s="212" t="str">
        <f>IFERROR(O7-I7,"0.0")</f>
        <v>0.0</v>
      </c>
      <c r="Q7" s="221">
        <f t="shared" ref="Q7:Q8" si="1">O7-M7</f>
        <v>0</v>
      </c>
      <c r="S7" s="361" t="str">
        <f>IFERROR(IF(⑬計算シート!U6=0,"",⑬計算シート!U6),"")</f>
        <v/>
      </c>
      <c r="U7" s="475"/>
    </row>
    <row r="8" spans="2:21" ht="24" customHeight="1" thickBot="1" x14ac:dyDescent="0.2">
      <c r="B8" s="639"/>
      <c r="C8" s="115" t="s">
        <v>66</v>
      </c>
      <c r="D8" s="116"/>
      <c r="E8" s="228" t="str">
        <f>IFERROR(IF(⑬計算シート!D14=0,"",⑬計算シート!D14),"")</f>
        <v/>
      </c>
      <c r="F8" s="228" t="str">
        <f>IFERROR(IF(⑬計算シート!E14=0,"",⑬計算シート!E14),"")</f>
        <v/>
      </c>
      <c r="G8" s="228" t="str">
        <f>IFERROR(IF(⑬計算シート!F14=0,"",⑬計算シート!F14),"")</f>
        <v/>
      </c>
      <c r="H8" s="228" t="str">
        <f>IFERROR(IF(⑬計算シート!G14=0,"",⑬計算シート!G14),"")</f>
        <v/>
      </c>
      <c r="I8" s="228" t="str">
        <f>IFERROR(IF(⑬計算シート!H14=0,"",⑬計算シート!H14),"")</f>
        <v/>
      </c>
      <c r="J8" s="228" t="str">
        <f>IFERROR(IF(⑬計算シート!I14=0,"",⑬計算シート!I14),"")</f>
        <v/>
      </c>
      <c r="K8" s="212" t="str">
        <f>IF(⑬計算シート!K14=0,"",⑬計算シート!K14)</f>
        <v>0</v>
      </c>
      <c r="L8" s="175"/>
      <c r="M8" s="194"/>
      <c r="N8" s="175"/>
      <c r="O8" s="194"/>
      <c r="P8" s="212" t="str">
        <f>IFERROR(O8-I8,"0.0")</f>
        <v>0.0</v>
      </c>
      <c r="Q8" s="221">
        <f t="shared" si="1"/>
        <v>0</v>
      </c>
      <c r="S8" s="361" t="str">
        <f>IFERROR(IF(⑬計算シート!U14=0,"",⑬計算シート!U14),"")</f>
        <v/>
      </c>
      <c r="U8" s="475"/>
    </row>
    <row r="9" spans="2:21" s="46" customFormat="1" ht="14.25" customHeight="1" x14ac:dyDescent="0.15">
      <c r="B9" s="117"/>
      <c r="C9" s="117"/>
      <c r="D9" s="117"/>
      <c r="E9" s="463"/>
      <c r="F9" s="463"/>
      <c r="G9" s="463"/>
      <c r="H9" s="577"/>
      <c r="I9" s="463"/>
      <c r="J9" s="463"/>
      <c r="K9" s="463"/>
      <c r="L9" s="176"/>
      <c r="M9" s="463"/>
      <c r="N9" s="176"/>
      <c r="O9" s="463"/>
      <c r="P9" s="463"/>
      <c r="Q9" s="463"/>
      <c r="S9" s="463"/>
    </row>
    <row r="10" spans="2:21" ht="24" customHeight="1" x14ac:dyDescent="0.15">
      <c r="B10" s="113" t="s">
        <v>215</v>
      </c>
      <c r="C10" s="114"/>
      <c r="D10" s="114"/>
      <c r="E10" s="154" t="str">
        <f>IFERROR(IF(⑬計算シート!D12=0,"",ROUNDDOWN(⑬計算シート!D12/1000,0)),"")</f>
        <v/>
      </c>
      <c r="F10" s="154" t="str">
        <f>IFERROR(IF(⑬計算シート!E12=0,"",ROUNDDOWN(⑬計算シート!E12/1000,0)),"")</f>
        <v/>
      </c>
      <c r="G10" s="154" t="str">
        <f>IFERROR(IF(⑬計算シート!F12=0,"",ROUNDDOWN(⑬計算シート!F12/1000,0)),"")</f>
        <v/>
      </c>
      <c r="H10" s="154" t="str">
        <f>IFERROR(IF(⑬計算シート!G12=0,"",ROUNDDOWN(⑬計算シート!G12/1000,0)),"")</f>
        <v/>
      </c>
      <c r="I10" s="154" t="str">
        <f>IFERROR(IF(⑬計算シート!H12=0,"",ROUNDDOWN(⑬計算シート!H12/1000,0)),"")</f>
        <v/>
      </c>
      <c r="J10" s="154" t="str">
        <f>IFERROR(IF(⑬計算シート!I12=0,"",ROUNDDOWN(⑬計算シート!I12/1000,0)),"")</f>
        <v/>
      </c>
      <c r="K10" s="154">
        <f>IF(⑬計算シート!K12=0,"",ROUNDDOWN(⑬計算シート!K12/1000,0))</f>
        <v>0</v>
      </c>
      <c r="L10" s="177"/>
      <c r="M10" s="127" t="e">
        <f>IF(⑬計算シート!N12=0,"0",ROUNDDOWN(⑬計算シート!N12/1000,0))</f>
        <v>#N/A</v>
      </c>
      <c r="N10" s="187"/>
      <c r="O10" s="202" t="e">
        <f>IF(⑬計算シート!O12=0,"0",ROUNDDOWN(⑬計算シート!O12/1000,0))</f>
        <v>#N/A</v>
      </c>
      <c r="P10" s="214" t="str">
        <f>IFERROR(O10-I10,"0")</f>
        <v>0</v>
      </c>
      <c r="Q10" s="223" t="e">
        <f>O10-M10</f>
        <v>#N/A</v>
      </c>
      <c r="S10" s="362" t="str">
        <f>IFERROR(IF(⑬計算シート!U12=0,"",ROUNDDOWN(⑬計算シート!U12/1000,0)),"")</f>
        <v/>
      </c>
      <c r="U10" s="475"/>
    </row>
    <row r="11" spans="2:21" ht="24" customHeight="1" x14ac:dyDescent="0.15">
      <c r="B11" s="637"/>
      <c r="C11" s="114" t="s">
        <v>63</v>
      </c>
      <c r="D11" s="114"/>
      <c r="E11" s="154" t="str">
        <f>IFERROR(IF(⑬計算シート!D7=0,"",ROUNDDOWN(⑬計算シート!D7/1000,0)),"")</f>
        <v/>
      </c>
      <c r="F11" s="154" t="str">
        <f>IFERROR(IF(⑬計算シート!E7=0,"",ROUNDDOWN(⑬計算シート!E7/1000,0)),"")</f>
        <v/>
      </c>
      <c r="G11" s="154" t="str">
        <f>IFERROR(IF(⑬計算シート!F7=0,"",ROUNDDOWN(⑬計算シート!F7/1000,0)),"")</f>
        <v/>
      </c>
      <c r="H11" s="154" t="str">
        <f>IFERROR(IF(⑬計算シート!G7=0,"",ROUNDDOWN(⑬計算シート!G7/1000,0)),"")</f>
        <v/>
      </c>
      <c r="I11" s="154" t="str">
        <f>IFERROR(IF(⑬計算シート!H7=0,"",ROUNDDOWN(⑬計算シート!H7/1000,0)),"")</f>
        <v/>
      </c>
      <c r="J11" s="154" t="str">
        <f>IFERROR(IF(⑬計算シート!I7=0,"",ROUNDDOWN(⑬計算シート!I7/1000,0)),"")</f>
        <v/>
      </c>
      <c r="K11" s="154">
        <f>IF(⑬計算シート!K7=0,"",ROUNDDOWN(⑬計算シート!K7/1000,0))</f>
        <v>0</v>
      </c>
      <c r="L11" s="177"/>
      <c r="M11" s="127" t="e">
        <f>IF(⑬計算シート!N7=0,"0",ROUNDDOWN(⑬計算シート!N7/1000,0))</f>
        <v>#N/A</v>
      </c>
      <c r="N11" s="187"/>
      <c r="O11" s="202" t="e">
        <f>IF(⑬計算シート!O7=0,"0",ROUNDDOWN(⑬計算シート!O7/1000,0))</f>
        <v>#N/A</v>
      </c>
      <c r="P11" s="214" t="str">
        <f>IFERROR(O11-I11,"0")</f>
        <v>0</v>
      </c>
      <c r="Q11" s="223" t="e">
        <f t="shared" ref="Q11:Q12" si="2">O11-M11</f>
        <v>#N/A</v>
      </c>
      <c r="S11" s="362" t="str">
        <f>IFERROR(IF(⑬計算シート!U7=0,"",ROUNDDOWN(⑬計算シート!U7/1000,0)),"")</f>
        <v/>
      </c>
      <c r="U11" s="475"/>
    </row>
    <row r="12" spans="2:21" ht="24" customHeight="1" thickBot="1" x14ac:dyDescent="0.2">
      <c r="B12" s="637"/>
      <c r="C12" s="113" t="s">
        <v>68</v>
      </c>
      <c r="D12" s="113"/>
      <c r="E12" s="215" t="str">
        <f>IFERROR(IF(⑬計算シート!D10=0,"",ROUNDDOWN(⑬計算シート!D10/1000,0)),"")</f>
        <v/>
      </c>
      <c r="F12" s="215" t="str">
        <f>IFERROR(IF(⑬計算シート!E10=0,"",ROUNDDOWN(⑬計算シート!E10/1000,0)),"")</f>
        <v/>
      </c>
      <c r="G12" s="215" t="str">
        <f>IFERROR(IF(⑬計算シート!F10=0,"",ROUNDDOWN(⑬計算シート!F10/1000,0)),"")</f>
        <v/>
      </c>
      <c r="H12" s="215" t="str">
        <f>IFERROR(IF(⑬計算シート!G10=0,"",ROUNDDOWN(⑬計算シート!G10/1000,0)),"")</f>
        <v/>
      </c>
      <c r="I12" s="215" t="str">
        <f>IFERROR(IF(⑬計算シート!H10=0,"",ROUNDDOWN(⑬計算シート!H10/1000,0)),"")</f>
        <v/>
      </c>
      <c r="J12" s="215" t="str">
        <f>IFERROR(IF(⑬計算シート!I10=0,"",ROUNDDOWN(⑬計算シート!I10/1000,0)),"")</f>
        <v/>
      </c>
      <c r="K12" s="215">
        <f>IF(⑬計算シート!K10=0,"",ROUNDDOWN(⑬計算シート!K10/1000,0))</f>
        <v>0</v>
      </c>
      <c r="L12" s="177"/>
      <c r="M12" s="215" t="str">
        <f>IF(⑬計算シート!N10=0,"0",ROUNDDOWN(⑬計算シート!N10/1000,0))</f>
        <v>0</v>
      </c>
      <c r="N12" s="187"/>
      <c r="O12" s="397" t="str">
        <f>IF(⑬計算シート!O10=0,"0",ROUNDDOWN(⑬計算シート!O10/1000,0))</f>
        <v>0</v>
      </c>
      <c r="P12" s="214" t="str">
        <f>IFERROR(O12-I12,"0")</f>
        <v>0</v>
      </c>
      <c r="Q12" s="223">
        <f t="shared" si="2"/>
        <v>0</v>
      </c>
      <c r="S12" s="362" t="str">
        <f>IFERROR(IF(⑬計算シート!U10=0,"",ROUNDDOWN(⑬計算シート!U10/1000,0)),"")</f>
        <v/>
      </c>
      <c r="U12" s="475"/>
    </row>
    <row r="13" spans="2:21" ht="24" customHeight="1" x14ac:dyDescent="0.15">
      <c r="B13" s="638"/>
      <c r="C13" s="640" t="s">
        <v>64</v>
      </c>
      <c r="D13" s="641"/>
      <c r="E13" s="230" t="str">
        <f>IFERROR(IF(⑬計算シート!D11=0,"",ROUNDDOWN(⑬計算シート!D11/1000,0)),"")</f>
        <v/>
      </c>
      <c r="F13" s="230" t="str">
        <f>IFERROR(IF(⑬計算シート!E11=0,"",ROUNDDOWN(⑬計算シート!E11/1000,0)),"")</f>
        <v/>
      </c>
      <c r="G13" s="230" t="str">
        <f>IFERROR(IF(⑬計算シート!F11=0,"",ROUNDDOWN(⑬計算シート!F11/1000,0)),"")</f>
        <v/>
      </c>
      <c r="H13" s="230" t="str">
        <f>IFERROR(IF(⑬計算シート!G11=0,"",ROUNDDOWN(⑬計算シート!G11/1000,0)),"")</f>
        <v/>
      </c>
      <c r="I13" s="230" t="str">
        <f>IFERROR(IF(⑬計算シート!H11=0,"",ROUNDDOWN(⑬計算シート!H11/1000,0)),"")</f>
        <v/>
      </c>
      <c r="J13" s="230" t="str">
        <f>IFERROR(IF(⑬計算シート!I11=0,"",ROUNDDOWN(⑬計算シート!I11/1000,0)),"")</f>
        <v/>
      </c>
      <c r="K13" s="231">
        <f>IF(⑬計算シート!K11=0,"",ROUNDDOWN(⑬計算シート!K11/1000,0))</f>
        <v>0</v>
      </c>
      <c r="L13" s="184"/>
      <c r="M13" s="195">
        <f>SUM(M14:M18)</f>
        <v>0</v>
      </c>
      <c r="N13" s="184"/>
      <c r="O13" s="195">
        <f t="shared" ref="O13" si="3">SUM(O14:O18)</f>
        <v>0</v>
      </c>
      <c r="P13" s="215" t="str">
        <f>IFERROR(O13-I13,"0")</f>
        <v>0</v>
      </c>
      <c r="Q13" s="224">
        <f>O13-M13</f>
        <v>0</v>
      </c>
      <c r="S13" s="363" t="str">
        <f>IFERROR(IF(⑬計算シート!U11=0,"",ROUNDDOWN(⑬計算シート!U11/1000,0)),"")</f>
        <v/>
      </c>
      <c r="U13" s="475"/>
    </row>
    <row r="14" spans="2:21" ht="24" customHeight="1" x14ac:dyDescent="0.15">
      <c r="B14" s="638"/>
      <c r="C14" s="635" t="s">
        <v>222</v>
      </c>
      <c r="D14" s="118"/>
      <c r="E14" s="232"/>
      <c r="F14" s="232"/>
      <c r="G14" s="232"/>
      <c r="H14" s="232"/>
      <c r="I14" s="232"/>
      <c r="J14" s="232"/>
      <c r="K14" s="233"/>
      <c r="L14" s="184"/>
      <c r="M14" s="196"/>
      <c r="N14" s="184"/>
      <c r="O14" s="196"/>
      <c r="P14" s="216">
        <f>O14-I14</f>
        <v>0</v>
      </c>
      <c r="Q14" s="216">
        <f>O14-M14</f>
        <v>0</v>
      </c>
      <c r="S14" s="266"/>
    </row>
    <row r="15" spans="2:21" ht="24" customHeight="1" thickBot="1" x14ac:dyDescent="0.2">
      <c r="B15" s="638"/>
      <c r="C15" s="635"/>
      <c r="D15" s="339"/>
      <c r="E15" s="340"/>
      <c r="F15" s="340"/>
      <c r="G15" s="340"/>
      <c r="H15" s="340"/>
      <c r="I15" s="340"/>
      <c r="J15" s="340"/>
      <c r="K15" s="341"/>
      <c r="L15" s="184"/>
      <c r="M15" s="345"/>
      <c r="N15" s="184"/>
      <c r="O15" s="345"/>
      <c r="P15" s="473">
        <f>O15-I15</f>
        <v>0</v>
      </c>
      <c r="Q15" s="216">
        <f t="shared" ref="Q15:Q18" si="4">O15-M15</f>
        <v>0</v>
      </c>
      <c r="S15" s="266"/>
    </row>
    <row r="16" spans="2:21" ht="24" hidden="1" customHeight="1" outlineLevel="1" x14ac:dyDescent="0.15">
      <c r="B16" s="638"/>
      <c r="C16" s="635"/>
      <c r="D16" s="339"/>
      <c r="E16" s="340"/>
      <c r="F16" s="340"/>
      <c r="G16" s="340"/>
      <c r="H16" s="340"/>
      <c r="I16" s="340"/>
      <c r="J16" s="340"/>
      <c r="K16" s="341"/>
      <c r="L16" s="184"/>
      <c r="M16" s="345"/>
      <c r="N16" s="184"/>
      <c r="O16" s="345"/>
      <c r="P16" s="469">
        <f>O16-I16</f>
        <v>0</v>
      </c>
      <c r="Q16" s="469">
        <f t="shared" si="4"/>
        <v>0</v>
      </c>
      <c r="S16" s="471"/>
    </row>
    <row r="17" spans="2:21" ht="24" hidden="1" customHeight="1" outlineLevel="1" x14ac:dyDescent="0.15">
      <c r="B17" s="638"/>
      <c r="C17" s="635"/>
      <c r="D17" s="339"/>
      <c r="E17" s="340"/>
      <c r="F17" s="340"/>
      <c r="G17" s="340"/>
      <c r="H17" s="340"/>
      <c r="I17" s="340"/>
      <c r="J17" s="340"/>
      <c r="K17" s="341"/>
      <c r="L17" s="184"/>
      <c r="M17" s="345"/>
      <c r="N17" s="184"/>
      <c r="O17" s="345"/>
      <c r="P17" s="216">
        <f>O17-I17</f>
        <v>0</v>
      </c>
      <c r="Q17" s="216">
        <f t="shared" si="4"/>
        <v>0</v>
      </c>
      <c r="S17" s="266"/>
    </row>
    <row r="18" spans="2:21" ht="24" hidden="1" customHeight="1" outlineLevel="1" thickBot="1" x14ac:dyDescent="0.2">
      <c r="B18" s="632"/>
      <c r="C18" s="636"/>
      <c r="D18" s="342"/>
      <c r="E18" s="343"/>
      <c r="F18" s="343"/>
      <c r="G18" s="343"/>
      <c r="H18" s="343"/>
      <c r="I18" s="343"/>
      <c r="J18" s="343"/>
      <c r="K18" s="344"/>
      <c r="L18" s="184"/>
      <c r="M18" s="346"/>
      <c r="N18" s="184"/>
      <c r="O18" s="346"/>
      <c r="P18" s="470">
        <f>O18-I18</f>
        <v>0</v>
      </c>
      <c r="Q18" s="217">
        <f t="shared" si="4"/>
        <v>0</v>
      </c>
      <c r="S18" s="472"/>
    </row>
    <row r="19" spans="2:21" s="46" customFormat="1" ht="14.25" customHeight="1" collapsed="1" x14ac:dyDescent="0.15">
      <c r="B19" s="117"/>
      <c r="C19" s="131"/>
      <c r="D19" s="132"/>
      <c r="E19" s="464"/>
      <c r="F19" s="464"/>
      <c r="G19" s="464"/>
      <c r="H19" s="464"/>
      <c r="I19" s="464"/>
      <c r="J19" s="464"/>
      <c r="K19" s="464"/>
      <c r="L19" s="178"/>
      <c r="M19" s="464"/>
      <c r="N19" s="178"/>
      <c r="O19" s="464"/>
      <c r="P19" s="474"/>
      <c r="Q19" s="474"/>
      <c r="S19" s="474"/>
    </row>
    <row r="20" spans="2:21" ht="24" customHeight="1" x14ac:dyDescent="0.15">
      <c r="B20" s="113" t="s">
        <v>216</v>
      </c>
      <c r="C20" s="114"/>
      <c r="D20" s="114"/>
      <c r="E20" s="154" t="str">
        <f>IFERROR(IF(⑬計算シート!D21=0,"",ROUNDDOWN(⑬計算シート!D21/1000,0)),"")</f>
        <v/>
      </c>
      <c r="F20" s="154" t="str">
        <f>IFERROR(IF(⑬計算シート!E21=0,"",ROUNDDOWN(⑬計算シート!E21/1000,0)),"")</f>
        <v/>
      </c>
      <c r="G20" s="154" t="str">
        <f>IFERROR(IF(⑬計算シート!F21=0,"",ROUNDDOWN(⑬計算シート!F21/1000,0)),"")</f>
        <v/>
      </c>
      <c r="H20" s="154" t="str">
        <f>IFERROR(IF(⑬計算シート!G21=0,"",ROUNDDOWN(⑬計算シート!G21/1000,0)),"")</f>
        <v/>
      </c>
      <c r="I20" s="154" t="str">
        <f>IFERROR(IF(⑬計算シート!H21=0,"",ROUNDDOWN(⑬計算シート!H21/1000,0)),"")</f>
        <v/>
      </c>
      <c r="J20" s="154" t="str">
        <f>IFERROR(IF(⑬計算シート!I21=0,"",ROUNDDOWN(⑬計算シート!I21/1000,0)),"")</f>
        <v/>
      </c>
      <c r="K20" s="154">
        <f>IF(⑬計算シート!K21=0,"",ROUNDDOWN(⑬計算シート!K21/1000,0))</f>
        <v>0</v>
      </c>
      <c r="L20" s="177"/>
      <c r="M20" s="154" t="str">
        <f>IF(⑬計算シート!N21=0,"0",ROUNDDOWN(⑬計算シート!N21/1000,0))</f>
        <v>0</v>
      </c>
      <c r="N20" s="187"/>
      <c r="O20" s="398" t="str">
        <f>IF(⑬計算シート!O21=0,"0",ROUNDDOWN(⑬計算シート!O21/1000,0))</f>
        <v>0</v>
      </c>
      <c r="P20" s="214" t="str">
        <f>IFERROR(O20-I20,"0")</f>
        <v>0</v>
      </c>
      <c r="Q20" s="155">
        <f>O20-M20</f>
        <v>0</v>
      </c>
      <c r="S20" s="362" t="str">
        <f>IFERROR(IF(⑬計算シート!U21=0,"",ROUNDDOWN(⑬計算シート!U21/1000,0)),"")</f>
        <v/>
      </c>
      <c r="U20" s="475"/>
    </row>
    <row r="21" spans="2:21" ht="24" customHeight="1" x14ac:dyDescent="0.15">
      <c r="B21" s="111"/>
      <c r="C21" s="114" t="s">
        <v>127</v>
      </c>
      <c r="D21" s="114"/>
      <c r="E21" s="154" t="str">
        <f>IFERROR(IF(⑬計算シート!D17=0,"",ROUNDDOWN(⑬計算シート!D17/1000,0)),"")</f>
        <v/>
      </c>
      <c r="F21" s="154" t="str">
        <f>IFERROR(IF(⑬計算シート!E17=0,"",ROUNDDOWN(⑬計算シート!E17/1000,0)),"")</f>
        <v/>
      </c>
      <c r="G21" s="154" t="str">
        <f>IFERROR(IF(⑬計算シート!F17=0,"",ROUNDDOWN(⑬計算シート!F17/1000,0)),"")</f>
        <v/>
      </c>
      <c r="H21" s="154" t="str">
        <f>IFERROR(IF(⑬計算シート!G17=0,"",ROUNDDOWN(⑬計算シート!G17/1000,0)),"")</f>
        <v/>
      </c>
      <c r="I21" s="154" t="str">
        <f>IFERROR(IF(⑬計算シート!H17=0,"",ROUNDDOWN(⑬計算シート!H17/1000,0)),"")</f>
        <v/>
      </c>
      <c r="J21" s="154" t="str">
        <f>IFERROR(IF(⑬計算シート!I17=0,"",ROUNDDOWN(⑬計算シート!I17/1000,0)),"")</f>
        <v/>
      </c>
      <c r="K21" s="154">
        <f>IF(⑬計算シート!K17=0,"",ROUNDDOWN(⑬計算シート!K17/1000,0))</f>
        <v>0</v>
      </c>
      <c r="L21" s="177"/>
      <c r="M21" s="154" t="str">
        <f>IF(⑬計算シート!N17=0,"0",ROUNDDOWN(⑬計算シート!N17/1000,0))</f>
        <v>0</v>
      </c>
      <c r="N21" s="187"/>
      <c r="O21" s="398" t="str">
        <f>IF(⑬計算シート!O17=0,"0",ROUNDDOWN(⑬計算シート!O17/1000,0))</f>
        <v>0</v>
      </c>
      <c r="P21" s="214" t="str">
        <f>IFERROR(O21-I21,"0")</f>
        <v>0</v>
      </c>
      <c r="Q21" s="155">
        <f>O21-M21</f>
        <v>0</v>
      </c>
      <c r="S21" s="362" t="str">
        <f>IFERROR(IF(⑬計算シート!U17=0,"",ROUNDDOWN(⑬計算シート!U17/1000,0)),"")</f>
        <v/>
      </c>
      <c r="U21" s="475"/>
    </row>
    <row r="22" spans="2:21" s="46" customFormat="1" ht="14.25" customHeight="1" x14ac:dyDescent="0.15">
      <c r="B22" s="120"/>
      <c r="C22" s="119"/>
      <c r="D22" s="119"/>
      <c r="E22" s="235"/>
      <c r="F22" s="235"/>
      <c r="G22" s="235"/>
      <c r="H22" s="235"/>
      <c r="I22" s="235"/>
      <c r="J22" s="235"/>
      <c r="K22" s="235"/>
      <c r="L22" s="178"/>
      <c r="M22" s="108"/>
      <c r="N22" s="178"/>
      <c r="O22" s="31"/>
      <c r="P22" s="219"/>
      <c r="Q22" s="213"/>
      <c r="S22" s="222"/>
      <c r="U22" s="476"/>
    </row>
    <row r="23" spans="2:21" ht="24" customHeight="1" x14ac:dyDescent="0.15">
      <c r="B23" s="114" t="s">
        <v>217</v>
      </c>
      <c r="C23" s="114"/>
      <c r="D23" s="114"/>
      <c r="E23" s="154" t="str">
        <f>IFERROR(IF(⑬計算シート!D23=0,"",ROUNDDOWN(⑬計算シート!D23/1000,0)),"")</f>
        <v/>
      </c>
      <c r="F23" s="154" t="str">
        <f>IFERROR(IF(⑬計算シート!E23=0,"",ROUNDDOWN(⑬計算シート!E23/1000,0)),"")</f>
        <v/>
      </c>
      <c r="G23" s="154" t="str">
        <f>IFERROR(IF(⑬計算シート!F23=0,"",ROUNDDOWN(⑬計算シート!F23/1000,0)),"")</f>
        <v/>
      </c>
      <c r="H23" s="154" t="str">
        <f>IFERROR(IF(⑬計算シート!G23=0,"",ROUNDDOWN(⑬計算シート!G23/1000,0)),"")</f>
        <v/>
      </c>
      <c r="I23" s="154" t="str">
        <f>IFERROR(IF(⑬計算シート!H23=0,"",ROUNDDOWN(⑬計算シート!H23/1000,0)),"")</f>
        <v/>
      </c>
      <c r="J23" s="154" t="str">
        <f>IFERROR(IF(⑬計算シート!I23=0,"",ROUNDDOWN(⑬計算シート!I23/1000,0)),"")</f>
        <v/>
      </c>
      <c r="K23" s="154">
        <f>IF(⑬計算シート!K23=0,"",ROUNDDOWN(⑬計算シート!K23/1000,0))</f>
        <v>0</v>
      </c>
      <c r="L23" s="179"/>
      <c r="M23" s="154" t="e">
        <f>IF(⑬計算シート!N23=0,"0",ROUNDDOWN(⑬計算シート!N23/1000,0))</f>
        <v>#N/A</v>
      </c>
      <c r="N23" s="187"/>
      <c r="O23" s="398" t="e">
        <f>IF(⑬計算シート!O23=0,"0",ROUNDDOWN(⑬計算シート!O23/1000,0))</f>
        <v>#N/A</v>
      </c>
      <c r="P23" s="214" t="str">
        <f>IFERROR(O23-I23,"0")</f>
        <v>0</v>
      </c>
      <c r="Q23" s="155" t="e">
        <f>O23-M23</f>
        <v>#N/A</v>
      </c>
      <c r="S23" s="362" t="str">
        <f>IFERROR(IF(⑬計算シート!U23=0,"",ROUNDDOWN(⑬計算シート!U23/1000,0)),"")</f>
        <v/>
      </c>
      <c r="U23" s="475"/>
    </row>
    <row r="24" spans="2:21" s="46" customFormat="1" ht="14.25" customHeight="1" x14ac:dyDescent="0.15">
      <c r="B24" s="121"/>
      <c r="C24" s="121"/>
      <c r="D24" s="121"/>
      <c r="E24" s="465"/>
      <c r="F24" s="465"/>
      <c r="G24" s="465"/>
      <c r="H24" s="465"/>
      <c r="I24" s="465"/>
      <c r="J24" s="465"/>
      <c r="K24" s="465"/>
      <c r="L24" s="178"/>
      <c r="M24" s="465"/>
      <c r="N24" s="178"/>
      <c r="O24" s="465"/>
      <c r="P24" s="465"/>
      <c r="Q24" s="465"/>
      <c r="S24" s="465"/>
      <c r="U24" s="476"/>
    </row>
    <row r="25" spans="2:21" ht="24" customHeight="1" thickBot="1" x14ac:dyDescent="0.2">
      <c r="B25" s="247" t="s">
        <v>296</v>
      </c>
      <c r="C25" s="247"/>
      <c r="D25" s="247"/>
      <c r="E25" s="248" t="str">
        <f>IFERROR(IF(⑬計算シート!D28=0,"",⑬計算シート!D28),"")</f>
        <v/>
      </c>
      <c r="F25" s="249" t="str">
        <f>IFERROR(IF(⑬計算シート!E28=0,"",⑬計算シート!E28),"")</f>
        <v/>
      </c>
      <c r="G25" s="249" t="str">
        <f>IFERROR(IF(⑬計算シート!F28=0,"",⑬計算シート!F28),"")</f>
        <v/>
      </c>
      <c r="H25" s="249" t="str">
        <f>IFERROR(IF(⑬計算シート!G28=0,"",⑬計算シート!G28),"")</f>
        <v/>
      </c>
      <c r="I25" s="249" t="str">
        <f>IFERROR(IF(⑬計算シート!H28=0,"",⑬計算シート!H28),"")</f>
        <v/>
      </c>
      <c r="J25" s="249" t="str">
        <f>IFERROR(IF(⑬計算シート!I28=0,"",⑬計算シート!I28),"")</f>
        <v/>
      </c>
      <c r="K25" s="249" t="str">
        <f>IF(⑬計算シート!K28=0,"",⑬計算シート!K28)</f>
        <v>0</v>
      </c>
      <c r="L25" s="172"/>
      <c r="M25" s="158" t="str">
        <f>⑬計算シート!N28</f>
        <v>0</v>
      </c>
      <c r="N25" s="188"/>
      <c r="O25" s="205" t="str">
        <f>⑬計算シート!O28</f>
        <v>0</v>
      </c>
      <c r="P25" s="250" t="str">
        <f t="shared" ref="P25:P30" si="5">IFERROR(O25-I25,"0")</f>
        <v>0</v>
      </c>
      <c r="Q25" s="251">
        <f t="shared" ref="Q25:Q34" si="6">O25-M25</f>
        <v>0</v>
      </c>
      <c r="S25" s="364" t="str">
        <f>IFERROR(IF(⑬計算シート!U28=0,"",⑬計算シート!U28),"")</f>
        <v/>
      </c>
      <c r="U25" s="475"/>
    </row>
    <row r="26" spans="2:21" ht="24" customHeight="1" thickBot="1" x14ac:dyDescent="0.2">
      <c r="B26" s="627" t="s">
        <v>75</v>
      </c>
      <c r="C26" s="628"/>
      <c r="D26" s="243" t="str">
        <f>IF(OR($B$2=0,$B$2=①事業一覧!$C$5),"自動入力",VLOOKUP($B$2,⑦令和元年度!$C$6:$AQ$86,24,FALSE))</f>
        <v>自動入力</v>
      </c>
      <c r="E26" s="244" t="str">
        <f>IFERROR(IF(⑬計算シート!D27=0,"",⑬計算シート!D27),"")</f>
        <v/>
      </c>
      <c r="F26" s="245" t="str">
        <f>IFERROR(IF(⑬計算シート!E27=0,"",⑬計算シート!E27),"")</f>
        <v/>
      </c>
      <c r="G26" s="245" t="str">
        <f>IFERROR(IF(⑬計算シート!F27=0,"",⑬計算シート!F27),"")</f>
        <v/>
      </c>
      <c r="H26" s="245" t="str">
        <f>IFERROR(IF(⑬計算シート!G27=0,"",⑬計算シート!G27),"")</f>
        <v/>
      </c>
      <c r="I26" s="245" t="str">
        <f>IFERROR(IF(⑬計算シート!H27=0,"",⑬計算シート!H27),"")</f>
        <v/>
      </c>
      <c r="J26" s="245" t="str">
        <f>IFERROR(IF(⑬計算シート!I27=0,"",⑬計算シート!I27),"")</f>
        <v/>
      </c>
      <c r="K26" s="245" t="str">
        <f>IF(⑬計算シート!K27=0,"",⑬計算シート!K27)</f>
        <v>0</v>
      </c>
      <c r="L26" s="172"/>
      <c r="M26" s="197"/>
      <c r="N26" s="189"/>
      <c r="O26" s="197"/>
      <c r="P26" s="252" t="str">
        <f t="shared" si="5"/>
        <v>0</v>
      </c>
      <c r="Q26" s="253">
        <f t="shared" si="6"/>
        <v>0</v>
      </c>
      <c r="R26" s="160"/>
      <c r="S26" s="365" t="str">
        <f>IFERROR(IF(⑬計算シート!U27=0,"",⑬計算シート!U27),"")</f>
        <v/>
      </c>
      <c r="U26" s="475"/>
    </row>
    <row r="27" spans="2:21" ht="24" customHeight="1" thickBot="1" x14ac:dyDescent="0.2">
      <c r="B27" s="247" t="s">
        <v>297</v>
      </c>
      <c r="C27" s="247"/>
      <c r="D27" s="254"/>
      <c r="E27" s="249" t="str">
        <f>IFERROR(IF(⑬計算シート!D30=0,"",⑬計算シート!D30),"")</f>
        <v/>
      </c>
      <c r="F27" s="249" t="str">
        <f>IFERROR(IF(⑬計算シート!E30=0,"",⑬計算シート!E30),"")</f>
        <v/>
      </c>
      <c r="G27" s="249" t="str">
        <f>IFERROR(IF(⑬計算シート!F30=0,"",⑬計算シート!F30),"")</f>
        <v/>
      </c>
      <c r="H27" s="249" t="str">
        <f>IFERROR(IF(⑬計算シート!G30=0,"",⑬計算シート!G30),"")</f>
        <v/>
      </c>
      <c r="I27" s="249" t="str">
        <f>IFERROR(IF(⑬計算シート!H30=0,"",⑬計算シート!H30),"")</f>
        <v/>
      </c>
      <c r="J27" s="249" t="str">
        <f>IFERROR(IF(⑬計算シート!I30=0,"",⑬計算シート!I30),"")</f>
        <v/>
      </c>
      <c r="K27" s="249" t="str">
        <f>IF(⑬計算シート!K30=0,"",⑬計算シート!K30)</f>
        <v>0</v>
      </c>
      <c r="L27" s="172"/>
      <c r="M27" s="158" t="str">
        <f>⑬計算シート!N30</f>
        <v>0</v>
      </c>
      <c r="N27" s="189"/>
      <c r="O27" s="205" t="str">
        <f>⑬計算シート!O30</f>
        <v>0</v>
      </c>
      <c r="P27" s="255" t="str">
        <f t="shared" si="5"/>
        <v>0</v>
      </c>
      <c r="Q27" s="251">
        <f t="shared" si="6"/>
        <v>0</v>
      </c>
      <c r="R27" s="160"/>
      <c r="S27" s="364" t="str">
        <f>IFERROR(IF(⑬計算シート!U30=0,"",⑬計算シート!U30),"")</f>
        <v/>
      </c>
      <c r="U27" s="475"/>
    </row>
    <row r="28" spans="2:21" ht="24" customHeight="1" thickBot="1" x14ac:dyDescent="0.2">
      <c r="B28" s="627" t="s">
        <v>75</v>
      </c>
      <c r="C28" s="628"/>
      <c r="D28" s="243" t="str">
        <f>IF(OR($B$2=0,$B$2=①事業一覧!$C$5),"自動入力",VLOOKUP($B$2,⑦令和元年度!$C$6:$AQ$86,26,FALSE))</f>
        <v>自動入力</v>
      </c>
      <c r="E28" s="245" t="str">
        <f>IFERROR(IF(⑬計算シート!D29=0,"",⑬計算シート!D29),"")</f>
        <v/>
      </c>
      <c r="F28" s="245" t="str">
        <f>IFERROR(IF(⑬計算シート!E29=0,"",⑬計算シート!E29),"")</f>
        <v/>
      </c>
      <c r="G28" s="245" t="str">
        <f>IFERROR(IF(⑬計算シート!F29=0,"",⑬計算シート!F29),"")</f>
        <v/>
      </c>
      <c r="H28" s="245" t="str">
        <f>IFERROR(IF(⑬計算シート!G29=0,"",⑬計算シート!G29),"")</f>
        <v/>
      </c>
      <c r="I28" s="245" t="str">
        <f>IFERROR(IF(⑬計算シート!H29=0,"",⑬計算シート!H29),"")</f>
        <v/>
      </c>
      <c r="J28" s="245" t="str">
        <f>IFERROR(IF(⑬計算シート!I29=0,"",⑬計算シート!I29),"")</f>
        <v/>
      </c>
      <c r="K28" s="245" t="str">
        <f>IF(⑬計算シート!K29=0,"",⑬計算シート!K29)</f>
        <v>0</v>
      </c>
      <c r="L28" s="172"/>
      <c r="M28" s="210"/>
      <c r="N28" s="189"/>
      <c r="O28" s="210"/>
      <c r="P28" s="252" t="str">
        <f t="shared" si="5"/>
        <v>0</v>
      </c>
      <c r="Q28" s="253">
        <f t="shared" si="6"/>
        <v>0</v>
      </c>
      <c r="R28" s="160"/>
      <c r="S28" s="365" t="str">
        <f>IFERROR(IF(⑬計算シート!U29=0,"",⑬計算シート!U29),"")</f>
        <v/>
      </c>
      <c r="U28" s="475"/>
    </row>
    <row r="29" spans="2:21" ht="24" customHeight="1" thickBot="1" x14ac:dyDescent="0.2">
      <c r="B29" s="247" t="s">
        <v>298</v>
      </c>
      <c r="C29" s="247"/>
      <c r="D29" s="254"/>
      <c r="E29" s="249" t="str">
        <f>IFERROR(IF(⑬計算シート!D32=0,"",⑬計算シート!D32),"")</f>
        <v/>
      </c>
      <c r="F29" s="249" t="str">
        <f>IFERROR(IF(⑬計算シート!E32=0,"",⑬計算シート!E32),"")</f>
        <v/>
      </c>
      <c r="G29" s="249" t="str">
        <f>IFERROR(IF(⑬計算シート!F32=0,"",⑬計算シート!F32),"")</f>
        <v/>
      </c>
      <c r="H29" s="249" t="str">
        <f>IFERROR(IF(⑬計算シート!G32=0,"",⑬計算シート!G32),"")</f>
        <v/>
      </c>
      <c r="I29" s="249" t="str">
        <f>IFERROR(IF(⑬計算シート!H32=0,"",⑬計算シート!H32),"")</f>
        <v/>
      </c>
      <c r="J29" s="249" t="str">
        <f>IFERROR(IF(⑬計算シート!I32=0,"",⑬計算シート!I32),"")</f>
        <v/>
      </c>
      <c r="K29" s="249" t="str">
        <f>IF(⑬計算シート!K32=0,"",⑬計算シート!K32)</f>
        <v>0</v>
      </c>
      <c r="L29" s="172"/>
      <c r="M29" s="158" t="str">
        <f>⑬計算シート!N32</f>
        <v>0</v>
      </c>
      <c r="N29" s="189"/>
      <c r="O29" s="205" t="str">
        <f>⑬計算シート!O32</f>
        <v>0</v>
      </c>
      <c r="P29" s="255" t="str">
        <f t="shared" si="5"/>
        <v>0</v>
      </c>
      <c r="Q29" s="251">
        <f t="shared" si="6"/>
        <v>0</v>
      </c>
      <c r="R29" s="160"/>
      <c r="S29" s="364" t="str">
        <f>IFERROR(IF(⑬計算シート!U32=0,"",⑬計算シート!U32),"")</f>
        <v/>
      </c>
      <c r="U29" s="475"/>
    </row>
    <row r="30" spans="2:21" ht="24" customHeight="1" thickBot="1" x14ac:dyDescent="0.2">
      <c r="B30" s="627" t="s">
        <v>75</v>
      </c>
      <c r="C30" s="628"/>
      <c r="D30" s="243" t="str">
        <f>IF(OR($B$2=0,$B$2=①事業一覧!$C$5),"自動入力",VLOOKUP($B$2,⑦令和元年度!$C$6:$AQ$86,28,FALSE))</f>
        <v>自動入力</v>
      </c>
      <c r="E30" s="245" t="str">
        <f>IFERROR(IF(⑬計算シート!D31=0,"",⑬計算シート!D31),"")</f>
        <v/>
      </c>
      <c r="F30" s="245" t="str">
        <f>IFERROR(IF(⑬計算シート!E31=0,"",⑬計算シート!E31),"")</f>
        <v/>
      </c>
      <c r="G30" s="245" t="str">
        <f>IFERROR(IF(⑬計算シート!F31=0,"",⑬計算シート!F31),"")</f>
        <v/>
      </c>
      <c r="H30" s="245" t="str">
        <f>IFERROR(IF(⑬計算シート!G31=0,"",⑬計算シート!G31),"")</f>
        <v/>
      </c>
      <c r="I30" s="245" t="str">
        <f>IFERROR(IF(⑬計算シート!H31=0,"",⑬計算シート!H31),"")</f>
        <v/>
      </c>
      <c r="J30" s="245" t="str">
        <f>IFERROR(IF(⑬計算シート!I31=0,"",⑬計算シート!I31),"")</f>
        <v/>
      </c>
      <c r="K30" s="245" t="str">
        <f>IF(⑬計算シート!K31=0,"",⑬計算シート!K31)</f>
        <v>0</v>
      </c>
      <c r="L30" s="172"/>
      <c r="M30" s="210"/>
      <c r="N30" s="189"/>
      <c r="O30" s="210"/>
      <c r="P30" s="252" t="str">
        <f t="shared" si="5"/>
        <v>0</v>
      </c>
      <c r="Q30" s="253">
        <f t="shared" si="6"/>
        <v>0</v>
      </c>
      <c r="R30" s="160"/>
      <c r="S30" s="365" t="str">
        <f>IFERROR(IF(⑬計算シート!U31=0,"",⑬計算シート!U31),"")</f>
        <v/>
      </c>
      <c r="U30" s="475"/>
    </row>
    <row r="31" spans="2:21" ht="24" hidden="1" customHeight="1" thickBot="1" x14ac:dyDescent="0.2">
      <c r="B31" s="247" t="s">
        <v>299</v>
      </c>
      <c r="C31" s="247"/>
      <c r="D31" s="254"/>
      <c r="E31" s="249" t="str">
        <f>IFERROR(IF(⑬計算シート!D34=0,"",⑬計算シート!D34),"")</f>
        <v/>
      </c>
      <c r="F31" s="249" t="str">
        <f>IFERROR(IF(⑬計算シート!E34=0,"",⑬計算シート!E34),"")</f>
        <v/>
      </c>
      <c r="G31" s="249" t="str">
        <f>IFERROR(IF(⑬計算シート!F34=0,"",⑬計算シート!F34),"")</f>
        <v/>
      </c>
      <c r="H31" s="249" t="str">
        <f>IFERROR(IF(⑬計算シート!G34=0,"",⑬計算シート!G34),"")</f>
        <v/>
      </c>
      <c r="I31" s="249" t="str">
        <f>IFERROR(IF(⑬計算シート!H34=0,"",⑬計算シート!H34),"")</f>
        <v/>
      </c>
      <c r="J31" s="249" t="str">
        <f>IFERROR(IF(⑬計算シート!I34=0,"",⑬計算シート!I34),"")</f>
        <v/>
      </c>
      <c r="K31" s="249" t="str">
        <f>IF(⑬計算シート!K34=0,"",⑬計算シート!K34)</f>
        <v>0</v>
      </c>
      <c r="L31" s="172"/>
      <c r="M31" s="158" t="str">
        <f>⑬計算シート!N34</f>
        <v>0</v>
      </c>
      <c r="N31" s="189"/>
      <c r="O31" s="205" t="str">
        <f>⑬計算シート!O34</f>
        <v>0</v>
      </c>
      <c r="P31" s="255" t="str">
        <f t="shared" ref="P31:P32" si="7">IFERROR(O31-H31,"0")</f>
        <v>0</v>
      </c>
      <c r="Q31" s="251">
        <f t="shared" si="6"/>
        <v>0</v>
      </c>
      <c r="R31" s="160"/>
      <c r="S31" s="364" t="str">
        <f>IFERROR(IF(⑬計算シート!U34=0,"",⑬計算シート!U34),"")</f>
        <v/>
      </c>
      <c r="U31" s="477"/>
    </row>
    <row r="32" spans="2:21" ht="24" hidden="1" customHeight="1" thickBot="1" x14ac:dyDescent="0.2">
      <c r="B32" s="627" t="s">
        <v>75</v>
      </c>
      <c r="C32" s="628"/>
      <c r="D32" s="243" t="str">
        <f>IF(OR($B$2=0,$B$2=①事業一覧!$C$5),"自動入力",VLOOKUP($B$2,⑧平成30年度!$C$6:$AQ$86,30,FALSE))</f>
        <v>自動入力</v>
      </c>
      <c r="E32" s="245" t="str">
        <f>IFERROR(IF(⑬計算シート!D33=0,"",⑬計算シート!D33),"")</f>
        <v/>
      </c>
      <c r="F32" s="245" t="str">
        <f>IFERROR(IF(⑬計算シート!E33=0,"",⑬計算シート!E33),"")</f>
        <v/>
      </c>
      <c r="G32" s="245" t="str">
        <f>IFERROR(IF(⑬計算シート!F33=0,"",⑬計算シート!F33),"")</f>
        <v/>
      </c>
      <c r="H32" s="245" t="str">
        <f>IFERROR(IF(⑬計算シート!G33=0,"",⑬計算シート!G33),"")</f>
        <v/>
      </c>
      <c r="I32" s="245" t="str">
        <f>IFERROR(IF(⑬計算シート!H33=0,"",⑬計算シート!H33),"")</f>
        <v/>
      </c>
      <c r="J32" s="245" t="str">
        <f>IFERROR(IF(⑬計算シート!I33=0,"",⑬計算シート!I33),"")</f>
        <v/>
      </c>
      <c r="K32" s="245" t="str">
        <f>IF(⑬計算シート!K33=0,"",⑬計算シート!K33)</f>
        <v>0</v>
      </c>
      <c r="L32" s="172"/>
      <c r="M32" s="210"/>
      <c r="N32" s="189"/>
      <c r="O32" s="210"/>
      <c r="P32" s="252" t="str">
        <f t="shared" si="7"/>
        <v>0</v>
      </c>
      <c r="Q32" s="253">
        <f t="shared" si="6"/>
        <v>0</v>
      </c>
      <c r="R32" s="160"/>
      <c r="S32" s="365" t="str">
        <f>IFERROR(IF(⑬計算シート!U33=0,"",⑬計算シート!U33),"")</f>
        <v/>
      </c>
      <c r="U32" s="477"/>
    </row>
    <row r="33" spans="1:21" ht="24" customHeight="1" thickBot="1" x14ac:dyDescent="0.2">
      <c r="B33" s="257" t="s">
        <v>300</v>
      </c>
      <c r="C33" s="257"/>
      <c r="D33" s="258"/>
      <c r="E33" s="158" t="str">
        <f>IFERROR(IF(⑬計算シート!D36=0,"",⑬計算シート!D36),"")</f>
        <v/>
      </c>
      <c r="F33" s="158" t="str">
        <f>IFERROR(IF(⑬計算シート!E36=0,"",⑬計算シート!E36),"")</f>
        <v/>
      </c>
      <c r="G33" s="158" t="str">
        <f>IFERROR(IF(⑬計算シート!F36=0,"",⑬計算シート!F36),"")</f>
        <v/>
      </c>
      <c r="H33" s="158" t="str">
        <f>IFERROR(IF(⑬計算シート!G36=0,"",⑬計算シート!G36),"")</f>
        <v/>
      </c>
      <c r="I33" s="158" t="str">
        <f>IFERROR(IF(⑬計算シート!H36=0,"",⑬計算シート!H36),"")</f>
        <v/>
      </c>
      <c r="J33" s="158" t="str">
        <f>IFERROR(IF(⑬計算シート!I36=0,"",⑬計算シート!I36),"")</f>
        <v/>
      </c>
      <c r="K33" s="158" t="str">
        <f>IF(⑬計算シート!K36=0,"",⑬計算シート!K36)</f>
        <v>0</v>
      </c>
      <c r="L33" s="172"/>
      <c r="M33" s="158" t="str">
        <f>⑬計算シート!N36</f>
        <v>0</v>
      </c>
      <c r="N33" s="189"/>
      <c r="O33" s="205" t="str">
        <f>⑬計算シート!O36</f>
        <v>0</v>
      </c>
      <c r="P33" s="255" t="str">
        <f>IFERROR(O33-I33,"0")</f>
        <v>0</v>
      </c>
      <c r="Q33" s="251">
        <f t="shared" si="6"/>
        <v>0</v>
      </c>
      <c r="R33" s="160"/>
      <c r="S33" s="364" t="str">
        <f>IFERROR(IF(⑬計算シート!U36=0,"",⑬計算シート!U36),"")</f>
        <v/>
      </c>
      <c r="U33" s="477"/>
    </row>
    <row r="34" spans="1:21" ht="24" customHeight="1" thickBot="1" x14ac:dyDescent="0.2">
      <c r="B34" s="648" t="s">
        <v>75</v>
      </c>
      <c r="C34" s="649"/>
      <c r="D34" s="347"/>
      <c r="E34" s="348"/>
      <c r="F34" s="348"/>
      <c r="G34" s="348"/>
      <c r="H34" s="348"/>
      <c r="I34" s="506"/>
      <c r="J34" s="506"/>
      <c r="K34" s="349" t="str">
        <f>⑬計算シート!K35</f>
        <v>0</v>
      </c>
      <c r="L34" s="172"/>
      <c r="M34" s="210"/>
      <c r="N34" s="189"/>
      <c r="O34" s="210"/>
      <c r="P34" s="256">
        <f>IFERROR(O34-I34,"0")</f>
        <v>0</v>
      </c>
      <c r="Q34" s="217">
        <f t="shared" si="6"/>
        <v>0</v>
      </c>
      <c r="R34" s="160"/>
      <c r="S34" s="267"/>
      <c r="U34" s="477"/>
    </row>
    <row r="35" spans="1:21" s="46" customFormat="1" ht="14.25" customHeight="1" x14ac:dyDescent="0.15">
      <c r="B35" s="121"/>
      <c r="C35" s="121"/>
      <c r="D35" s="121"/>
      <c r="E35" s="213"/>
      <c r="F35" s="213"/>
      <c r="G35" s="213"/>
      <c r="H35" s="213"/>
      <c r="I35" s="213"/>
      <c r="J35" s="213"/>
      <c r="K35" s="213"/>
      <c r="L35" s="178"/>
      <c r="N35" s="178"/>
      <c r="O35" s="31"/>
      <c r="P35" s="219"/>
      <c r="Q35" s="213"/>
      <c r="S35" s="222"/>
      <c r="U35" s="478"/>
    </row>
    <row r="36" spans="1:21" ht="24" customHeight="1" x14ac:dyDescent="0.15">
      <c r="B36" s="114" t="s">
        <v>218</v>
      </c>
      <c r="C36" s="114"/>
      <c r="D36" s="114"/>
      <c r="E36" s="236" t="str">
        <f>IFERROR(IF(⑬計算シート!D25=0,"",⑬計算シート!D25),"")</f>
        <v/>
      </c>
      <c r="F36" s="236" t="str">
        <f>IFERROR(IF(⑬計算シート!E25=0,"",⑬計算シート!E25),"")</f>
        <v/>
      </c>
      <c r="G36" s="236" t="str">
        <f>IFERROR(IF(⑬計算シート!F25=0,"",⑬計算シート!F25),"")</f>
        <v/>
      </c>
      <c r="H36" s="236" t="str">
        <f>IFERROR(IF(⑬計算シート!G25=0,"",⑬計算シート!G25),"")</f>
        <v/>
      </c>
      <c r="I36" s="236" t="str">
        <f>IFERROR(IF(⑬計算シート!H25=0,"",⑬計算シート!H25),"")</f>
        <v/>
      </c>
      <c r="J36" s="236" t="str">
        <f>IFERROR(IF(⑬計算シート!I25=0,"",⑬計算シート!I25),"")</f>
        <v/>
      </c>
      <c r="K36" s="236" t="str">
        <f>IF(⑬計算シート!K25=0,"",⑬計算シート!K25)</f>
        <v>0</v>
      </c>
      <c r="L36" s="180"/>
      <c r="M36" s="129" t="str">
        <f>⑬計算シート!N25</f>
        <v>0</v>
      </c>
      <c r="N36" s="180"/>
      <c r="O36" s="206" t="str">
        <f>⑬計算シート!O25</f>
        <v>0</v>
      </c>
      <c r="P36" s="220" t="str">
        <f>IFERROR(O36-I36,"0.00")</f>
        <v>0.00</v>
      </c>
      <c r="Q36" s="225">
        <f>O36-M36</f>
        <v>0</v>
      </c>
      <c r="S36" s="366" t="str">
        <f>IFERROR(IF(⑬計算シート!U25=0,"",⑬計算シート!U25),"")</f>
        <v/>
      </c>
      <c r="U36" s="259" t="str">
        <f>IF($M$2="自動入力","",VLOOKUP($M$2,⑧平成30年度!$E$96:$H$100,2,FALSE))</f>
        <v/>
      </c>
    </row>
    <row r="37" spans="1:21" s="46" customFormat="1" ht="14.25" customHeight="1" thickBot="1" x14ac:dyDescent="0.2">
      <c r="B37" s="626"/>
      <c r="C37" s="626"/>
      <c r="D37" s="626"/>
      <c r="E37" s="466"/>
      <c r="F37" s="466"/>
      <c r="G37" s="466"/>
      <c r="H37" s="466"/>
      <c r="I37" s="466"/>
      <c r="J37" s="466"/>
      <c r="K37" s="466"/>
      <c r="L37" s="178"/>
      <c r="M37" s="466"/>
      <c r="N37" s="178"/>
      <c r="O37" s="466"/>
      <c r="P37" s="466"/>
      <c r="Q37" s="466"/>
      <c r="S37" s="466"/>
    </row>
    <row r="38" spans="1:21" ht="24" customHeight="1" thickBot="1" x14ac:dyDescent="0.2">
      <c r="B38" s="123" t="s">
        <v>219</v>
      </c>
      <c r="C38" s="124"/>
      <c r="D38" s="122"/>
      <c r="E38" s="223" t="str">
        <f>IFERROR(IF(⑬計算シート!D38=0,"",ROUNDDOWN(⑬計算シート!D38/1000,0)),"")</f>
        <v/>
      </c>
      <c r="F38" s="223" t="str">
        <f>IFERROR(IF(⑬計算シート!E38=0,"",ROUNDDOWN(⑬計算シート!E38/1000,0)),"")</f>
        <v/>
      </c>
      <c r="G38" s="223" t="str">
        <f>IFERROR(IF(⑬計算シート!F38=0,"",ROUNDDOWN(⑬計算シート!F38/1000,0)),"")</f>
        <v/>
      </c>
      <c r="H38" s="223" t="str">
        <f>IFERROR(IF(⑬計算シート!G38=0,"",ROUNDDOWN(⑬計算シート!G38/1000,0)),"")</f>
        <v/>
      </c>
      <c r="I38" s="223" t="str">
        <f>IFERROR(IF(⑬計算シート!H38=0,"",ROUNDDOWN(⑬計算シート!H38/1000,0)),"")</f>
        <v/>
      </c>
      <c r="J38" s="223" t="str">
        <f>IFERROR(IF(⑬計算シート!I38=0,"",ROUNDDOWN(⑬計算シート!I38/1000,0)),"")</f>
        <v/>
      </c>
      <c r="K38" s="159">
        <f>IF(⑬計算シート!K38=0,"",ROUNDDOWN(⑬計算シート!K38/1000,0))</f>
        <v>0</v>
      </c>
      <c r="L38" s="173"/>
      <c r="M38" s="209"/>
      <c r="N38" s="190"/>
      <c r="O38" s="209"/>
      <c r="P38" s="154" t="str">
        <f>IFERROR(O38-I38,"0")</f>
        <v>0</v>
      </c>
      <c r="Q38" s="155">
        <f>O38-M38</f>
        <v>0</v>
      </c>
      <c r="R38" s="104"/>
      <c r="S38" s="367" t="str">
        <f>IFERROR(IF(⑬計算シート!U38=0,"",ROUNDDOWN(⑬計算シート!U38/1000,0)),"")</f>
        <v/>
      </c>
      <c r="U38" s="260"/>
    </row>
    <row r="39" spans="1:21" ht="24" customHeight="1" x14ac:dyDescent="0.15">
      <c r="B39" s="123" t="s">
        <v>220</v>
      </c>
      <c r="C39" s="124"/>
      <c r="D39" s="122"/>
      <c r="E39" s="238" t="str">
        <f>IFERROR(IF(⑬計算シート!D39=0,"",⑬計算シート!D39),"")</f>
        <v/>
      </c>
      <c r="F39" s="238" t="str">
        <f>IFERROR(IF(⑬計算シート!E39=0,"",⑬計算シート!E39),"")</f>
        <v/>
      </c>
      <c r="G39" s="238" t="str">
        <f>IFERROR(IF(⑬計算シート!F39=0,"",⑬計算シート!F39),"")</f>
        <v/>
      </c>
      <c r="H39" s="238" t="str">
        <f>IFERROR(IF(⑬計算シート!G39=0,"",⑬計算シート!G39),"")</f>
        <v/>
      </c>
      <c r="I39" s="238" t="str">
        <f>IFERROR(IF(⑬計算シート!H39=0,"",⑬計算シート!H39),"")</f>
        <v/>
      </c>
      <c r="J39" s="238" t="str">
        <f>IFERROR(IF(⑬計算シート!I39=0,"",⑬計算シート!I39),"")</f>
        <v/>
      </c>
      <c r="K39" s="239" t="str">
        <f>IF(⑬計算シート!K39=0,"",⑬計算シート!K39)</f>
        <v>0</v>
      </c>
      <c r="L39" s="181"/>
      <c r="M39" s="135" t="str">
        <f>⑬計算シート!N39</f>
        <v>0</v>
      </c>
      <c r="N39" s="191"/>
      <c r="O39" s="207" t="str">
        <f>⑬計算シート!O39</f>
        <v>0</v>
      </c>
      <c r="P39" s="220" t="str">
        <f>IFERROR(O39-I39,"0.0")</f>
        <v>0.0</v>
      </c>
      <c r="Q39" s="226">
        <f>O39-M39</f>
        <v>0</v>
      </c>
      <c r="R39" s="105"/>
      <c r="S39" s="368" t="str">
        <f>IFERROR(IF(⑬計算シート!U39=0,"",⑬計算シート!U39),"")</f>
        <v/>
      </c>
      <c r="U39" s="259" t="str">
        <f>IF($M$2="自動入力","",VLOOKUP($M$2,⑧平成30年度!$E$96:$H$100,3,FALSE))</f>
        <v/>
      </c>
    </row>
    <row r="40" spans="1:21" s="46" customFormat="1" ht="14.25" customHeight="1" thickBot="1" x14ac:dyDescent="0.2">
      <c r="B40" s="121"/>
      <c r="C40" s="121"/>
      <c r="D40" s="121"/>
      <c r="E40" s="467"/>
      <c r="F40" s="467"/>
      <c r="G40" s="467"/>
      <c r="H40" s="467"/>
      <c r="I40" s="467"/>
      <c r="J40" s="467"/>
      <c r="K40" s="467"/>
      <c r="L40" s="178"/>
      <c r="M40" s="467"/>
      <c r="N40" s="178"/>
      <c r="O40" s="467"/>
      <c r="P40" s="467"/>
      <c r="Q40" s="467"/>
      <c r="S40" s="467"/>
    </row>
    <row r="41" spans="1:21" ht="24" customHeight="1" thickBot="1" x14ac:dyDescent="0.2">
      <c r="A41" s="6"/>
      <c r="B41" s="607" t="s">
        <v>615</v>
      </c>
      <c r="C41" s="608"/>
      <c r="D41" s="606"/>
      <c r="E41" s="157" t="str">
        <f>IFERROR(IF(⑬計算シート!D42=0,"",ROUNDDOWN(⑬計算シート!D42/1000,0)),"")</f>
        <v/>
      </c>
      <c r="F41" s="157" t="str">
        <f>IFERROR(IF(⑬計算シート!E42=0,"",ROUNDDOWN(⑬計算シート!E42/1000,0)),"")</f>
        <v/>
      </c>
      <c r="G41" s="157" t="str">
        <f>IFERROR(IF(⑬計算シート!F42=0,"",ROUNDDOWN(⑬計算シート!F42/1000,0)),"")</f>
        <v/>
      </c>
      <c r="H41" s="157" t="str">
        <f>IFERROR(IF(⑬計算シート!G42=0,"",ROUNDDOWN(⑬計算シート!G42/1000,0)),"")</f>
        <v/>
      </c>
      <c r="I41" s="157" t="str">
        <f>IFERROR(IF(⑬計算シート!H42=0,"",ROUNDDOWN(⑬計算シート!H42/1000,0)),"")</f>
        <v/>
      </c>
      <c r="J41" s="157" t="str">
        <f>IFERROR(IF(⑬計算シート!I42=0,"",ROUNDDOWN(⑬計算シート!I42/1000,0)),"")</f>
        <v/>
      </c>
      <c r="K41" s="157">
        <f>IF(⑬計算シート!K42=0,"",ROUNDDOWN(⑬計算シート!K42/1000,0))</f>
        <v>0</v>
      </c>
      <c r="L41" s="174"/>
      <c r="M41" s="210"/>
      <c r="N41" s="189"/>
      <c r="O41" s="210"/>
      <c r="P41" s="154" t="str">
        <f>IFERROR(O41-I41,"0")</f>
        <v>0</v>
      </c>
      <c r="Q41" s="155">
        <f>O41-M41</f>
        <v>0</v>
      </c>
      <c r="R41" s="156"/>
      <c r="S41" s="271" t="str">
        <f>IFERROR(IF(⑬計算シート!U42=0,"",ROUNDDOWN(⑬計算シート!U42/1000,0)),"")</f>
        <v/>
      </c>
      <c r="U41" s="260"/>
    </row>
    <row r="42" spans="1:21" ht="24" customHeight="1" x14ac:dyDescent="0.15">
      <c r="B42" s="123" t="s">
        <v>221</v>
      </c>
      <c r="C42" s="124"/>
      <c r="D42" s="122"/>
      <c r="E42" s="238" t="str">
        <f>IFERROR(IF(⑬計算シート!D43=0,"",⑬計算シート!D43),"")</f>
        <v/>
      </c>
      <c r="F42" s="238" t="str">
        <f>IFERROR(IF(⑬計算シート!E43=0,"",⑬計算シート!E43),"")</f>
        <v/>
      </c>
      <c r="G42" s="238" t="str">
        <f>IFERROR(IF(⑬計算シート!F43=0,"",⑬計算シート!F43),"")</f>
        <v/>
      </c>
      <c r="H42" s="238" t="str">
        <f>IFERROR(IF(⑬計算シート!G43=0,"",⑬計算シート!G43),"")</f>
        <v/>
      </c>
      <c r="I42" s="238" t="str">
        <f>IFERROR(IF(⑬計算シート!H43=0,"",⑬計算シート!H43),"")</f>
        <v/>
      </c>
      <c r="J42" s="238" t="str">
        <f>IFERROR(IF(⑬計算シート!I43=0,"",⑬計算シート!I43),"")</f>
        <v/>
      </c>
      <c r="K42" s="239" t="str">
        <f>IF(⑬計算シート!K43=0,"",⑬計算シート!K43)</f>
        <v>0</v>
      </c>
      <c r="L42" s="182"/>
      <c r="M42" s="130" t="str">
        <f>⑬計算シート!N43</f>
        <v>0</v>
      </c>
      <c r="N42" s="192"/>
      <c r="O42" s="208" t="str">
        <f>⑬計算シート!O43</f>
        <v>0</v>
      </c>
      <c r="P42" s="220" t="str">
        <f>IFERROR(O42-I42,"0.00")</f>
        <v>0.00</v>
      </c>
      <c r="Q42" s="225">
        <f>O42-M42</f>
        <v>0</v>
      </c>
      <c r="R42" s="105"/>
      <c r="S42" s="369" t="str">
        <f>IFERROR(IF(⑬計算シート!U43=0,"",⑬計算シート!U43),"")</f>
        <v/>
      </c>
      <c r="U42" s="259" t="str">
        <f>IF($M$2="自動入力","",VLOOKUP($M$2,⑧平成30年度!$E$96:$H$100,4,FALSE))</f>
        <v/>
      </c>
    </row>
    <row r="43" spans="1:21" x14ac:dyDescent="0.15">
      <c r="E43" s="468"/>
      <c r="F43" s="468"/>
      <c r="G43" s="468"/>
      <c r="H43" s="468"/>
      <c r="I43" s="468"/>
      <c r="J43" s="468"/>
      <c r="K43" s="468"/>
      <c r="M43" s="468"/>
      <c r="O43" s="468"/>
      <c r="P43" s="468"/>
      <c r="Q43" s="468"/>
      <c r="S43" s="468"/>
    </row>
  </sheetData>
  <mergeCells count="14">
    <mergeCell ref="Q2:U2"/>
    <mergeCell ref="B37:D37"/>
    <mergeCell ref="B26:C26"/>
    <mergeCell ref="B4:D5"/>
    <mergeCell ref="C14:C18"/>
    <mergeCell ref="B11:B18"/>
    <mergeCell ref="B7:B8"/>
    <mergeCell ref="C13:D13"/>
    <mergeCell ref="M2:O2"/>
    <mergeCell ref="B2:K2"/>
    <mergeCell ref="B28:C28"/>
    <mergeCell ref="B30:C30"/>
    <mergeCell ref="B32:C32"/>
    <mergeCell ref="B34:C34"/>
  </mergeCells>
  <phoneticPr fontId="2"/>
  <conditionalFormatting sqref="G25">
    <cfRule type="cellIs" dxfId="14" priority="5" operator="greaterThan">
      <formula>$F$25</formula>
    </cfRule>
    <cfRule type="cellIs" dxfId="13" priority="15" operator="greaterThan">
      <formula>$F$25</formula>
    </cfRule>
  </conditionalFormatting>
  <conditionalFormatting sqref="H25">
    <cfRule type="cellIs" dxfId="12" priority="14" operator="greaterThan">
      <formula>$G$25</formula>
    </cfRule>
  </conditionalFormatting>
  <conditionalFormatting sqref="G27">
    <cfRule type="cellIs" dxfId="11" priority="13" operator="greaterThan">
      <formula>$F$27</formula>
    </cfRule>
  </conditionalFormatting>
  <conditionalFormatting sqref="H27">
    <cfRule type="cellIs" dxfId="10" priority="12" operator="greaterThan">
      <formula>$G$27</formula>
    </cfRule>
  </conditionalFormatting>
  <conditionalFormatting sqref="G29">
    <cfRule type="cellIs" dxfId="9" priority="11" operator="greaterThan">
      <formula>$F$29</formula>
    </cfRule>
  </conditionalFormatting>
  <conditionalFormatting sqref="H29">
    <cfRule type="cellIs" dxfId="8" priority="10" operator="greaterThan">
      <formula>$G$29</formula>
    </cfRule>
  </conditionalFormatting>
  <conditionalFormatting sqref="G31">
    <cfRule type="cellIs" dxfId="7" priority="9" operator="greaterThan">
      <formula>$F$31</formula>
    </cfRule>
  </conditionalFormatting>
  <conditionalFormatting sqref="H31:J31">
    <cfRule type="cellIs" dxfId="6" priority="8" operator="greaterThan">
      <formula>$G$31</formula>
    </cfRule>
  </conditionalFormatting>
  <conditionalFormatting sqref="G33">
    <cfRule type="cellIs" dxfId="5" priority="7" operator="greaterThan">
      <formula>$F$33</formula>
    </cfRule>
  </conditionalFormatting>
  <conditionalFormatting sqref="H33">
    <cfRule type="cellIs" dxfId="4" priority="6" operator="greaterThan">
      <formula>$G$33</formula>
    </cfRule>
  </conditionalFormatting>
  <conditionalFormatting sqref="I25:J25">
    <cfRule type="cellIs" dxfId="3" priority="4" operator="greaterThan">
      <formula>$H$25</formula>
    </cfRule>
  </conditionalFormatting>
  <conditionalFormatting sqref="I27:J27">
    <cfRule type="cellIs" dxfId="2" priority="3" operator="greaterThan">
      <formula>$H$27</formula>
    </cfRule>
  </conditionalFormatting>
  <conditionalFormatting sqref="I29:J29">
    <cfRule type="cellIs" dxfId="1" priority="2" operator="greaterThan">
      <formula>$H$29</formula>
    </cfRule>
  </conditionalFormatting>
  <conditionalFormatting sqref="I33:J33">
    <cfRule type="cellIs" dxfId="0" priority="1" operator="greaterThan">
      <formula>$H$33</formula>
    </cfRule>
  </conditionalFormatting>
  <pageMargins left="0.7" right="0.7" top="0.75" bottom="0.75" header="0.3" footer="0.3"/>
  <pageSetup paperSize="9" scale="57" orientation="landscape" r:id="rId1"/>
  <headerFooter>
    <oddHeader>&amp;L&amp;16&amp;Uフルコスト分析シート</oddHeader>
  </headerFooter>
  <extLst>
    <ext xmlns:x14="http://schemas.microsoft.com/office/spreadsheetml/2009/9/main" uri="{CCE6A557-97BC-4b89-ADB6-D9C93CAAB3DF}">
      <x14:dataValidations xmlns:xm="http://schemas.microsoft.com/office/excel/2006/main" xWindow="403" yWindow="276" count="2">
        <x14:dataValidation type="list" allowBlank="1" showInputMessage="1" showErrorMessage="1" promptTitle="比較対象事業の選択" prompt="「①事業一覧」シートから_x000a_事業名をコピー＆貼り付け_x000a_or　プルダウンから選択">
          <x14:formula1>
            <xm:f>①事業一覧!$C$6:$C$86</xm:f>
          </x14:formula1>
          <xm:sqref>Q2:U2</xm:sqref>
        </x14:dataValidation>
        <x14:dataValidation type="list" allowBlank="1" showErrorMessage="1">
          <x14:formula1>
            <xm:f>①事業一覧!$C$5:$C$86</xm:f>
          </x14:formula1>
          <xm:sqref>B2:K2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2"/>
  <sheetViews>
    <sheetView showGridLines="0" view="pageBreakPreview" zoomScale="70" zoomScaleNormal="55" zoomScaleSheetLayoutView="70" workbookViewId="0">
      <selection activeCell="F21" sqref="F21"/>
    </sheetView>
  </sheetViews>
  <sheetFormatPr defaultRowHeight="13.5" outlineLevelRow="1" x14ac:dyDescent="0.15"/>
  <cols>
    <col min="2" max="2" width="2.625" customWidth="1"/>
    <col min="3" max="3" width="3.75" customWidth="1"/>
    <col min="4" max="4" width="32" customWidth="1"/>
    <col min="5" max="11" width="13.5" customWidth="1"/>
    <col min="12" max="12" width="2.625" customWidth="1"/>
    <col min="13" max="13" width="13.5" customWidth="1"/>
    <col min="14" max="14" width="2.625" customWidth="1"/>
    <col min="15" max="15" width="13.5" customWidth="1"/>
    <col min="16" max="16" width="15" customWidth="1"/>
    <col min="17" max="17" width="13.5" customWidth="1"/>
    <col min="18" max="18" width="2.625" customWidth="1"/>
    <col min="19" max="19" width="14.75" customWidth="1"/>
    <col min="20" max="20" width="2.75" customWidth="1"/>
    <col min="21" max="21" width="15.875" customWidth="1"/>
  </cols>
  <sheetData>
    <row r="1" spans="2:21" ht="15" thickBot="1" x14ac:dyDescent="0.2">
      <c r="B1" s="28" t="s">
        <v>213</v>
      </c>
      <c r="M1" s="28" t="s">
        <v>30</v>
      </c>
      <c r="N1" s="28"/>
      <c r="Q1" s="28" t="s">
        <v>74</v>
      </c>
    </row>
    <row r="2" spans="2:21" ht="24" customHeight="1" thickTop="1" thickBot="1" x14ac:dyDescent="0.2">
      <c r="B2" s="656" t="s">
        <v>472</v>
      </c>
      <c r="C2" s="657"/>
      <c r="D2" s="657"/>
      <c r="E2" s="657"/>
      <c r="F2" s="657"/>
      <c r="G2" s="657"/>
      <c r="H2" s="657"/>
      <c r="I2" s="657"/>
      <c r="J2" s="657"/>
      <c r="K2" s="658"/>
      <c r="L2" s="103"/>
      <c r="M2" s="659" t="s">
        <v>157</v>
      </c>
      <c r="N2" s="660"/>
      <c r="O2" s="661"/>
      <c r="P2" s="27"/>
      <c r="Q2" s="650" t="s">
        <v>473</v>
      </c>
      <c r="R2" s="651"/>
      <c r="S2" s="651"/>
      <c r="T2" s="651"/>
      <c r="U2" s="652"/>
    </row>
    <row r="3" spans="2:21" ht="15.75" customHeight="1" x14ac:dyDescent="0.15">
      <c r="O3" s="31"/>
      <c r="S3" s="31"/>
    </row>
    <row r="4" spans="2:21" ht="55.5" customHeight="1" x14ac:dyDescent="0.15">
      <c r="B4" s="629"/>
      <c r="C4" s="630"/>
      <c r="D4" s="631"/>
      <c r="E4" s="125" t="s">
        <v>552</v>
      </c>
      <c r="F4" s="337" t="s">
        <v>553</v>
      </c>
      <c r="G4" s="337" t="s">
        <v>554</v>
      </c>
      <c r="H4" s="543" t="s">
        <v>555</v>
      </c>
      <c r="I4" s="543" t="s">
        <v>556</v>
      </c>
      <c r="J4" s="556" t="s">
        <v>522</v>
      </c>
      <c r="K4" s="109" t="s">
        <v>525</v>
      </c>
      <c r="L4" s="183"/>
      <c r="M4" s="337" t="s">
        <v>509</v>
      </c>
      <c r="N4" s="336"/>
      <c r="O4" s="199" t="s">
        <v>62</v>
      </c>
      <c r="P4" s="578" t="s">
        <v>523</v>
      </c>
      <c r="Q4" s="543" t="s">
        <v>510</v>
      </c>
      <c r="R4" s="121"/>
      <c r="S4" s="261" t="s">
        <v>524</v>
      </c>
    </row>
    <row r="5" spans="2:21" ht="15" customHeight="1" x14ac:dyDescent="0.15">
      <c r="B5" s="632"/>
      <c r="C5" s="633"/>
      <c r="D5" s="634"/>
      <c r="E5" s="334"/>
      <c r="F5" s="334"/>
      <c r="G5" s="335"/>
      <c r="H5" s="542"/>
      <c r="I5" s="542"/>
      <c r="J5" s="555"/>
      <c r="K5" s="542"/>
      <c r="L5" s="183"/>
      <c r="M5" s="112" t="s">
        <v>69</v>
      </c>
      <c r="N5" s="336"/>
      <c r="O5" s="200" t="s">
        <v>70</v>
      </c>
      <c r="P5" s="198" t="s">
        <v>71</v>
      </c>
      <c r="Q5" s="112" t="s">
        <v>72</v>
      </c>
      <c r="R5" s="121"/>
      <c r="S5" s="262" t="s">
        <v>73</v>
      </c>
    </row>
    <row r="6" spans="2:21" ht="24" customHeight="1" thickBot="1" x14ac:dyDescent="0.2">
      <c r="B6" s="113" t="s">
        <v>214</v>
      </c>
      <c r="C6" s="114"/>
      <c r="D6" s="114"/>
      <c r="E6" s="228"/>
      <c r="F6" s="228"/>
      <c r="G6" s="228"/>
      <c r="H6" s="228"/>
      <c r="I6" s="228"/>
      <c r="J6" s="228"/>
      <c r="K6" s="212"/>
      <c r="L6" s="175"/>
      <c r="M6" s="126"/>
      <c r="N6" s="186"/>
      <c r="O6" s="201"/>
      <c r="P6" s="211"/>
      <c r="Q6" s="221"/>
      <c r="S6" s="263"/>
    </row>
    <row r="7" spans="2:21" ht="24" customHeight="1" x14ac:dyDescent="0.15">
      <c r="B7" s="637"/>
      <c r="C7" s="115" t="s">
        <v>65</v>
      </c>
      <c r="D7" s="116"/>
      <c r="E7" s="228"/>
      <c r="F7" s="228"/>
      <c r="G7" s="228"/>
      <c r="H7" s="228"/>
      <c r="I7" s="228"/>
      <c r="J7" s="228"/>
      <c r="K7" s="212"/>
      <c r="L7" s="175"/>
      <c r="M7" s="193"/>
      <c r="N7" s="175"/>
      <c r="O7" s="193"/>
      <c r="P7" s="212"/>
      <c r="Q7" s="221"/>
      <c r="S7" s="263"/>
    </row>
    <row r="8" spans="2:21" ht="24" customHeight="1" thickBot="1" x14ac:dyDescent="0.2">
      <c r="B8" s="639"/>
      <c r="C8" s="115" t="s">
        <v>66</v>
      </c>
      <c r="D8" s="116"/>
      <c r="E8" s="228"/>
      <c r="F8" s="228"/>
      <c r="G8" s="228"/>
      <c r="H8" s="228"/>
      <c r="I8" s="228"/>
      <c r="J8" s="228"/>
      <c r="K8" s="212"/>
      <c r="L8" s="175"/>
      <c r="M8" s="194"/>
      <c r="N8" s="175"/>
      <c r="O8" s="194"/>
      <c r="P8" s="212"/>
      <c r="Q8" s="221"/>
      <c r="S8" s="263"/>
    </row>
    <row r="9" spans="2:21" s="46" customFormat="1" ht="14.25" customHeight="1" x14ac:dyDescent="0.15">
      <c r="B9" s="338"/>
      <c r="C9" s="338"/>
      <c r="D9" s="338"/>
      <c r="E9" s="229"/>
      <c r="F9" s="229"/>
      <c r="G9" s="229"/>
      <c r="H9" s="229"/>
      <c r="I9" s="229"/>
      <c r="J9" s="229"/>
      <c r="K9" s="229"/>
      <c r="L9" s="176"/>
      <c r="M9" s="107"/>
      <c r="N9" s="176"/>
      <c r="O9" s="31"/>
      <c r="P9" s="213"/>
      <c r="Q9" s="222"/>
      <c r="S9" s="222"/>
    </row>
    <row r="10" spans="2:21" ht="24" customHeight="1" x14ac:dyDescent="0.15">
      <c r="B10" s="113" t="s">
        <v>215</v>
      </c>
      <c r="C10" s="114"/>
      <c r="D10" s="114"/>
      <c r="E10" s="154"/>
      <c r="F10" s="154"/>
      <c r="G10" s="154"/>
      <c r="H10" s="154"/>
      <c r="I10" s="154"/>
      <c r="J10" s="154"/>
      <c r="K10" s="154"/>
      <c r="L10" s="177"/>
      <c r="M10" s="127"/>
      <c r="N10" s="187"/>
      <c r="O10" s="202"/>
      <c r="P10" s="214"/>
      <c r="Q10" s="223"/>
      <c r="S10" s="264"/>
    </row>
    <row r="11" spans="2:21" ht="24" customHeight="1" x14ac:dyDescent="0.15">
      <c r="B11" s="637"/>
      <c r="C11" s="114" t="s">
        <v>63</v>
      </c>
      <c r="D11" s="114"/>
      <c r="E11" s="154"/>
      <c r="F11" s="154"/>
      <c r="G11" s="154"/>
      <c r="H11" s="154"/>
      <c r="I11" s="154"/>
      <c r="J11" s="154"/>
      <c r="K11" s="154"/>
      <c r="L11" s="177"/>
      <c r="M11" s="127"/>
      <c r="N11" s="187"/>
      <c r="O11" s="202"/>
      <c r="P11" s="214"/>
      <c r="Q11" s="223"/>
      <c r="S11" s="264"/>
    </row>
    <row r="12" spans="2:21" ht="24" customHeight="1" thickBot="1" x14ac:dyDescent="0.2">
      <c r="B12" s="637"/>
      <c r="C12" s="113" t="s">
        <v>68</v>
      </c>
      <c r="D12" s="113"/>
      <c r="E12" s="215"/>
      <c r="F12" s="215"/>
      <c r="G12" s="215"/>
      <c r="H12" s="215"/>
      <c r="I12" s="215"/>
      <c r="J12" s="215"/>
      <c r="K12" s="215"/>
      <c r="L12" s="177"/>
      <c r="M12" s="128"/>
      <c r="N12" s="187"/>
      <c r="O12" s="203"/>
      <c r="P12" s="214"/>
      <c r="Q12" s="223"/>
      <c r="S12" s="264"/>
    </row>
    <row r="13" spans="2:21" ht="24" customHeight="1" x14ac:dyDescent="0.15">
      <c r="B13" s="638"/>
      <c r="C13" s="640" t="s">
        <v>64</v>
      </c>
      <c r="D13" s="641"/>
      <c r="E13" s="230"/>
      <c r="F13" s="230"/>
      <c r="G13" s="230"/>
      <c r="H13" s="230"/>
      <c r="I13" s="230"/>
      <c r="J13" s="230"/>
      <c r="K13" s="231"/>
      <c r="L13" s="184"/>
      <c r="M13" s="195"/>
      <c r="N13" s="184"/>
      <c r="O13" s="195"/>
      <c r="P13" s="215"/>
      <c r="Q13" s="224"/>
      <c r="S13" s="265"/>
    </row>
    <row r="14" spans="2:21" ht="24" customHeight="1" x14ac:dyDescent="0.15">
      <c r="B14" s="638"/>
      <c r="C14" s="635" t="s">
        <v>222</v>
      </c>
      <c r="D14" s="118"/>
      <c r="E14" s="232"/>
      <c r="F14" s="232"/>
      <c r="G14" s="232"/>
      <c r="H14" s="232"/>
      <c r="I14" s="232"/>
      <c r="J14" s="232"/>
      <c r="K14" s="233"/>
      <c r="L14" s="184"/>
      <c r="M14" s="196"/>
      <c r="N14" s="184"/>
      <c r="O14" s="196"/>
      <c r="P14" s="216"/>
      <c r="Q14" s="216"/>
      <c r="S14" s="266"/>
    </row>
    <row r="15" spans="2:21" ht="24" customHeight="1" x14ac:dyDescent="0.15">
      <c r="B15" s="638"/>
      <c r="C15" s="635"/>
      <c r="D15" s="339"/>
      <c r="E15" s="340"/>
      <c r="F15" s="340"/>
      <c r="G15" s="340"/>
      <c r="H15" s="340"/>
      <c r="I15" s="340"/>
      <c r="J15" s="340"/>
      <c r="K15" s="341"/>
      <c r="L15" s="184"/>
      <c r="M15" s="345"/>
      <c r="N15" s="184"/>
      <c r="O15" s="345"/>
      <c r="P15" s="216"/>
      <c r="Q15" s="216"/>
      <c r="S15" s="266"/>
    </row>
    <row r="16" spans="2:21" ht="24" customHeight="1" outlineLevel="1" x14ac:dyDescent="0.15">
      <c r="B16" s="638"/>
      <c r="C16" s="635"/>
      <c r="D16" s="339"/>
      <c r="E16" s="340"/>
      <c r="F16" s="340"/>
      <c r="G16" s="340"/>
      <c r="H16" s="340"/>
      <c r="I16" s="340"/>
      <c r="J16" s="340"/>
      <c r="K16" s="341"/>
      <c r="L16" s="184"/>
      <c r="M16" s="345"/>
      <c r="N16" s="184"/>
      <c r="O16" s="345"/>
      <c r="P16" s="216"/>
      <c r="Q16" s="216"/>
      <c r="S16" s="266"/>
    </row>
    <row r="17" spans="2:21" ht="24" customHeight="1" outlineLevel="1" x14ac:dyDescent="0.15">
      <c r="B17" s="638"/>
      <c r="C17" s="635"/>
      <c r="D17" s="339"/>
      <c r="E17" s="340"/>
      <c r="F17" s="340"/>
      <c r="G17" s="340"/>
      <c r="H17" s="340"/>
      <c r="I17" s="340"/>
      <c r="J17" s="340"/>
      <c r="K17" s="341"/>
      <c r="L17" s="184"/>
      <c r="M17" s="345"/>
      <c r="N17" s="184"/>
      <c r="O17" s="345"/>
      <c r="P17" s="216"/>
      <c r="Q17" s="216"/>
      <c r="S17" s="266"/>
    </row>
    <row r="18" spans="2:21" ht="24" customHeight="1" outlineLevel="1" thickBot="1" x14ac:dyDescent="0.2">
      <c r="B18" s="632"/>
      <c r="C18" s="636"/>
      <c r="D18" s="342"/>
      <c r="E18" s="343"/>
      <c r="F18" s="343"/>
      <c r="G18" s="343"/>
      <c r="H18" s="343"/>
      <c r="I18" s="343"/>
      <c r="J18" s="343"/>
      <c r="K18" s="344"/>
      <c r="L18" s="184"/>
      <c r="M18" s="346"/>
      <c r="N18" s="184"/>
      <c r="O18" s="346"/>
      <c r="P18" s="217"/>
      <c r="Q18" s="217"/>
      <c r="S18" s="267"/>
    </row>
    <row r="19" spans="2:21" s="46" customFormat="1" ht="14.25" customHeight="1" x14ac:dyDescent="0.15">
      <c r="B19" s="338"/>
      <c r="C19" s="131"/>
      <c r="D19" s="132"/>
      <c r="E19" s="234"/>
      <c r="F19" s="234"/>
      <c r="G19" s="234"/>
      <c r="H19" s="234"/>
      <c r="I19" s="234"/>
      <c r="J19" s="234"/>
      <c r="K19" s="234"/>
      <c r="L19" s="178"/>
      <c r="M19" s="133"/>
      <c r="N19" s="178"/>
      <c r="O19" s="134"/>
      <c r="P19" s="218"/>
      <c r="Q19" s="218"/>
      <c r="S19" s="227"/>
    </row>
    <row r="20" spans="2:21" ht="24" customHeight="1" x14ac:dyDescent="0.15">
      <c r="B20" s="113" t="s">
        <v>216</v>
      </c>
      <c r="C20" s="114"/>
      <c r="D20" s="114"/>
      <c r="E20" s="154"/>
      <c r="F20" s="154"/>
      <c r="G20" s="154"/>
      <c r="H20" s="154"/>
      <c r="I20" s="154"/>
      <c r="J20" s="154"/>
      <c r="K20" s="154"/>
      <c r="L20" s="177"/>
      <c r="M20" s="127"/>
      <c r="N20" s="187"/>
      <c r="O20" s="202"/>
      <c r="P20" s="214"/>
      <c r="Q20" s="155"/>
      <c r="S20" s="264"/>
    </row>
    <row r="21" spans="2:21" ht="24" customHeight="1" x14ac:dyDescent="0.15">
      <c r="B21" s="335"/>
      <c r="C21" s="114" t="s">
        <v>127</v>
      </c>
      <c r="D21" s="114"/>
      <c r="E21" s="154"/>
      <c r="F21" s="154"/>
      <c r="G21" s="154"/>
      <c r="H21" s="154"/>
      <c r="I21" s="154"/>
      <c r="J21" s="154"/>
      <c r="K21" s="154"/>
      <c r="L21" s="177"/>
      <c r="M21" s="127"/>
      <c r="N21" s="187"/>
      <c r="O21" s="202"/>
      <c r="P21" s="214"/>
      <c r="Q21" s="155"/>
      <c r="S21" s="264"/>
    </row>
    <row r="22" spans="2:21" s="46" customFormat="1" ht="14.25" customHeight="1" x14ac:dyDescent="0.15">
      <c r="B22" s="333"/>
      <c r="C22" s="119"/>
      <c r="D22" s="119"/>
      <c r="E22" s="235"/>
      <c r="F22" s="235"/>
      <c r="G22" s="235"/>
      <c r="H22" s="235"/>
      <c r="I22" s="235"/>
      <c r="J22" s="235"/>
      <c r="K22" s="235"/>
      <c r="L22" s="178"/>
      <c r="M22" s="108"/>
      <c r="N22" s="178"/>
      <c r="O22" s="31"/>
      <c r="P22" s="219"/>
      <c r="Q22" s="213"/>
      <c r="S22" s="222"/>
      <c r="U22" s="653"/>
    </row>
    <row r="23" spans="2:21" ht="24" customHeight="1" x14ac:dyDescent="0.15">
      <c r="B23" s="114" t="s">
        <v>217</v>
      </c>
      <c r="C23" s="114"/>
      <c r="D23" s="114"/>
      <c r="E23" s="154"/>
      <c r="F23" s="154"/>
      <c r="G23" s="154"/>
      <c r="H23" s="154"/>
      <c r="I23" s="154"/>
      <c r="J23" s="154"/>
      <c r="K23" s="154"/>
      <c r="L23" s="179"/>
      <c r="M23" s="159"/>
      <c r="N23" s="188"/>
      <c r="O23" s="204"/>
      <c r="P23" s="214"/>
      <c r="Q23" s="155"/>
      <c r="S23" s="264"/>
      <c r="U23" s="653"/>
    </row>
    <row r="24" spans="2:21" s="46" customFormat="1" ht="14.25" customHeight="1" x14ac:dyDescent="0.15">
      <c r="B24" s="121"/>
      <c r="C24" s="121"/>
      <c r="D24" s="121"/>
      <c r="E24" s="213"/>
      <c r="F24" s="213"/>
      <c r="G24" s="213"/>
      <c r="H24" s="213"/>
      <c r="I24" s="213"/>
      <c r="J24" s="213"/>
      <c r="K24" s="213"/>
      <c r="L24" s="178"/>
      <c r="N24" s="178"/>
      <c r="O24" s="31"/>
      <c r="P24" s="219"/>
      <c r="Q24" s="213"/>
      <c r="S24" s="222"/>
      <c r="U24" s="653"/>
    </row>
    <row r="25" spans="2:21" ht="24" customHeight="1" thickBot="1" x14ac:dyDescent="0.2">
      <c r="B25" s="247" t="s">
        <v>296</v>
      </c>
      <c r="C25" s="247"/>
      <c r="D25" s="247"/>
      <c r="E25" s="248"/>
      <c r="F25" s="248"/>
      <c r="G25" s="248"/>
      <c r="H25" s="248"/>
      <c r="I25" s="248"/>
      <c r="J25" s="248"/>
      <c r="K25" s="249"/>
      <c r="L25" s="172"/>
      <c r="M25" s="158"/>
      <c r="N25" s="188"/>
      <c r="O25" s="205"/>
      <c r="P25" s="250"/>
      <c r="Q25" s="251"/>
      <c r="S25" s="268"/>
      <c r="U25" s="653"/>
    </row>
    <row r="26" spans="2:21" ht="24" customHeight="1" thickBot="1" x14ac:dyDescent="0.2">
      <c r="B26" s="627" t="s">
        <v>75</v>
      </c>
      <c r="C26" s="628"/>
      <c r="D26" s="243" t="s">
        <v>157</v>
      </c>
      <c r="E26" s="244"/>
      <c r="F26" s="245"/>
      <c r="G26" s="245"/>
      <c r="H26" s="245"/>
      <c r="I26" s="246"/>
      <c r="J26" s="246"/>
      <c r="K26" s="246"/>
      <c r="L26" s="172"/>
      <c r="M26" s="197"/>
      <c r="N26" s="189"/>
      <c r="O26" s="197"/>
      <c r="P26" s="252"/>
      <c r="Q26" s="253"/>
      <c r="R26" s="160"/>
      <c r="S26" s="267"/>
      <c r="U26" s="654" t="s">
        <v>558</v>
      </c>
    </row>
    <row r="27" spans="2:21" ht="24" customHeight="1" thickBot="1" x14ac:dyDescent="0.2">
      <c r="B27" s="247" t="s">
        <v>297</v>
      </c>
      <c r="C27" s="247"/>
      <c r="D27" s="254"/>
      <c r="E27" s="249"/>
      <c r="F27" s="249"/>
      <c r="G27" s="249"/>
      <c r="H27" s="249"/>
      <c r="I27" s="249"/>
      <c r="J27" s="249"/>
      <c r="K27" s="249"/>
      <c r="L27" s="172"/>
      <c r="M27" s="158"/>
      <c r="N27" s="189"/>
      <c r="O27" s="205"/>
      <c r="P27" s="255"/>
      <c r="Q27" s="251"/>
      <c r="R27" s="160"/>
      <c r="S27" s="268"/>
      <c r="U27" s="654"/>
    </row>
    <row r="28" spans="2:21" ht="24" customHeight="1" thickBot="1" x14ac:dyDescent="0.2">
      <c r="B28" s="627" t="s">
        <v>75</v>
      </c>
      <c r="C28" s="628"/>
      <c r="D28" s="243" t="s">
        <v>157</v>
      </c>
      <c r="E28" s="245"/>
      <c r="F28" s="245"/>
      <c r="G28" s="245"/>
      <c r="H28" s="245"/>
      <c r="I28" s="245"/>
      <c r="J28" s="245"/>
      <c r="K28" s="245"/>
      <c r="L28" s="172"/>
      <c r="M28" s="210"/>
      <c r="N28" s="189"/>
      <c r="O28" s="210"/>
      <c r="P28" s="252"/>
      <c r="Q28" s="253"/>
      <c r="R28" s="160"/>
      <c r="S28" s="267"/>
      <c r="U28" s="654"/>
    </row>
    <row r="29" spans="2:21" ht="24" customHeight="1" thickBot="1" x14ac:dyDescent="0.2">
      <c r="B29" s="247" t="s">
        <v>298</v>
      </c>
      <c r="C29" s="247"/>
      <c r="D29" s="254"/>
      <c r="E29" s="249"/>
      <c r="F29" s="249"/>
      <c r="G29" s="249"/>
      <c r="H29" s="249"/>
      <c r="I29" s="249"/>
      <c r="J29" s="249"/>
      <c r="K29" s="249"/>
      <c r="L29" s="172"/>
      <c r="M29" s="158"/>
      <c r="N29" s="189"/>
      <c r="O29" s="205"/>
      <c r="P29" s="255"/>
      <c r="Q29" s="251"/>
      <c r="R29" s="160"/>
      <c r="S29" s="268"/>
      <c r="U29" s="654"/>
    </row>
    <row r="30" spans="2:21" ht="24" customHeight="1" thickBot="1" x14ac:dyDescent="0.2">
      <c r="B30" s="627" t="s">
        <v>75</v>
      </c>
      <c r="C30" s="628"/>
      <c r="D30" s="243" t="s">
        <v>157</v>
      </c>
      <c r="E30" s="245"/>
      <c r="F30" s="245"/>
      <c r="G30" s="245"/>
      <c r="H30" s="245"/>
      <c r="I30" s="245"/>
      <c r="J30" s="245"/>
      <c r="K30" s="245"/>
      <c r="L30" s="172"/>
      <c r="M30" s="210"/>
      <c r="N30" s="189"/>
      <c r="O30" s="210"/>
      <c r="P30" s="252"/>
      <c r="Q30" s="253"/>
      <c r="R30" s="160"/>
      <c r="S30" s="267"/>
      <c r="U30" s="654"/>
    </row>
    <row r="31" spans="2:21" ht="24" hidden="1" customHeight="1" thickBot="1" x14ac:dyDescent="0.2">
      <c r="B31" s="247" t="s">
        <v>299</v>
      </c>
      <c r="C31" s="247"/>
      <c r="D31" s="254"/>
      <c r="E31" s="249"/>
      <c r="F31" s="249"/>
      <c r="G31" s="249"/>
      <c r="H31" s="249"/>
      <c r="I31" s="249"/>
      <c r="J31" s="249"/>
      <c r="K31" s="249"/>
      <c r="L31" s="172"/>
      <c r="M31" s="158"/>
      <c r="N31" s="189"/>
      <c r="O31" s="205"/>
      <c r="P31" s="255"/>
      <c r="Q31" s="251"/>
      <c r="R31" s="160"/>
      <c r="S31" s="268"/>
      <c r="U31" s="654"/>
    </row>
    <row r="32" spans="2:21" ht="24" hidden="1" customHeight="1" thickBot="1" x14ac:dyDescent="0.2">
      <c r="B32" s="627" t="s">
        <v>75</v>
      </c>
      <c r="C32" s="628"/>
      <c r="D32" s="243" t="s">
        <v>157</v>
      </c>
      <c r="E32" s="245"/>
      <c r="F32" s="245"/>
      <c r="G32" s="245"/>
      <c r="H32" s="245"/>
      <c r="I32" s="245"/>
      <c r="J32" s="245"/>
      <c r="K32" s="245"/>
      <c r="L32" s="172"/>
      <c r="M32" s="210"/>
      <c r="N32" s="189"/>
      <c r="O32" s="210"/>
      <c r="P32" s="252"/>
      <c r="Q32" s="253"/>
      <c r="R32" s="160"/>
      <c r="S32" s="267"/>
      <c r="U32" s="654"/>
    </row>
    <row r="33" spans="2:21" ht="24" customHeight="1" collapsed="1" thickBot="1" x14ac:dyDescent="0.2">
      <c r="B33" s="257" t="s">
        <v>300</v>
      </c>
      <c r="C33" s="257"/>
      <c r="D33" s="258"/>
      <c r="E33" s="158"/>
      <c r="F33" s="158"/>
      <c r="G33" s="158"/>
      <c r="H33" s="158"/>
      <c r="I33" s="158"/>
      <c r="J33" s="158"/>
      <c r="K33" s="158"/>
      <c r="L33" s="172"/>
      <c r="M33" s="158"/>
      <c r="N33" s="189"/>
      <c r="O33" s="205"/>
      <c r="P33" s="255"/>
      <c r="Q33" s="251"/>
      <c r="R33" s="160"/>
      <c r="S33" s="268"/>
      <c r="U33" s="654"/>
    </row>
    <row r="34" spans="2:21" ht="24" customHeight="1" thickBot="1" x14ac:dyDescent="0.2">
      <c r="B34" s="648" t="s">
        <v>75</v>
      </c>
      <c r="C34" s="649"/>
      <c r="D34" s="347"/>
      <c r="E34" s="348"/>
      <c r="F34" s="348"/>
      <c r="G34" s="348"/>
      <c r="H34" s="348"/>
      <c r="I34" s="506"/>
      <c r="J34" s="506"/>
      <c r="K34" s="349"/>
      <c r="L34" s="172"/>
      <c r="M34" s="210"/>
      <c r="N34" s="189"/>
      <c r="O34" s="210"/>
      <c r="P34" s="256"/>
      <c r="Q34" s="217"/>
      <c r="R34" s="160"/>
      <c r="S34" s="267"/>
      <c r="U34" s="654"/>
    </row>
    <row r="35" spans="2:21" s="46" customFormat="1" ht="14.25" customHeight="1" x14ac:dyDescent="0.15">
      <c r="B35" s="121"/>
      <c r="C35" s="121"/>
      <c r="D35" s="121"/>
      <c r="E35" s="213"/>
      <c r="F35" s="213"/>
      <c r="G35" s="213"/>
      <c r="H35" s="213"/>
      <c r="I35" s="213"/>
      <c r="J35" s="213"/>
      <c r="K35" s="213"/>
      <c r="L35" s="178"/>
      <c r="N35" s="178"/>
      <c r="O35" s="31"/>
      <c r="P35" s="219"/>
      <c r="Q35" s="213"/>
      <c r="S35" s="222"/>
      <c r="U35" s="655"/>
    </row>
    <row r="36" spans="2:21" ht="24" customHeight="1" x14ac:dyDescent="0.15">
      <c r="B36" s="114" t="s">
        <v>218</v>
      </c>
      <c r="C36" s="114"/>
      <c r="D36" s="114"/>
      <c r="E36" s="236"/>
      <c r="F36" s="236"/>
      <c r="G36" s="236"/>
      <c r="H36" s="236"/>
      <c r="I36" s="236"/>
      <c r="J36" s="236"/>
      <c r="K36" s="236"/>
      <c r="L36" s="180"/>
      <c r="M36" s="129"/>
      <c r="N36" s="180"/>
      <c r="O36" s="206"/>
      <c r="P36" s="220"/>
      <c r="Q36" s="225"/>
      <c r="S36" s="269"/>
      <c r="U36" s="259"/>
    </row>
    <row r="37" spans="2:21" s="46" customFormat="1" ht="14.25" customHeight="1" thickBot="1" x14ac:dyDescent="0.2">
      <c r="B37" s="626"/>
      <c r="C37" s="626"/>
      <c r="D37" s="626"/>
      <c r="E37" s="237"/>
      <c r="F37" s="237"/>
      <c r="G37" s="213"/>
      <c r="H37" s="213"/>
      <c r="I37" s="213"/>
      <c r="J37" s="213"/>
      <c r="K37" s="213"/>
      <c r="L37" s="178"/>
      <c r="N37" s="178"/>
      <c r="O37" s="31"/>
      <c r="P37" s="213"/>
      <c r="Q37" s="213"/>
      <c r="S37" s="222"/>
    </row>
    <row r="38" spans="2:21" ht="24" customHeight="1" thickBot="1" x14ac:dyDescent="0.2">
      <c r="B38" s="123" t="s">
        <v>219</v>
      </c>
      <c r="C38" s="124"/>
      <c r="D38" s="122"/>
      <c r="E38" s="223"/>
      <c r="F38" s="223"/>
      <c r="G38" s="155"/>
      <c r="H38" s="155"/>
      <c r="I38" s="155"/>
      <c r="J38" s="155"/>
      <c r="K38" s="157"/>
      <c r="L38" s="173"/>
      <c r="M38" s="209"/>
      <c r="N38" s="190"/>
      <c r="O38" s="209"/>
      <c r="P38" s="154"/>
      <c r="Q38" s="155"/>
      <c r="R38" s="104"/>
      <c r="S38" s="264"/>
      <c r="U38" s="260"/>
    </row>
    <row r="39" spans="2:21" ht="24" customHeight="1" x14ac:dyDescent="0.15">
      <c r="B39" s="123" t="s">
        <v>220</v>
      </c>
      <c r="C39" s="124"/>
      <c r="D39" s="122"/>
      <c r="E39" s="238"/>
      <c r="F39" s="238"/>
      <c r="G39" s="225"/>
      <c r="H39" s="225"/>
      <c r="I39" s="225"/>
      <c r="J39" s="225"/>
      <c r="K39" s="239"/>
      <c r="L39" s="181"/>
      <c r="M39" s="135"/>
      <c r="N39" s="191"/>
      <c r="O39" s="207"/>
      <c r="P39" s="220"/>
      <c r="Q39" s="226"/>
      <c r="R39" s="105"/>
      <c r="S39" s="270"/>
      <c r="U39" s="259"/>
    </row>
    <row r="40" spans="2:21" s="46" customFormat="1" ht="14.25" customHeight="1" thickBot="1" x14ac:dyDescent="0.2">
      <c r="B40" s="121"/>
      <c r="C40" s="121"/>
      <c r="D40" s="121"/>
      <c r="E40" s="213"/>
      <c r="F40" s="213"/>
      <c r="G40" s="213"/>
      <c r="H40" s="213"/>
      <c r="I40" s="213"/>
      <c r="J40" s="213"/>
      <c r="K40" s="213"/>
      <c r="L40" s="178"/>
      <c r="N40" s="178"/>
      <c r="O40" s="31"/>
      <c r="P40" s="213"/>
      <c r="Q40" s="213"/>
      <c r="S40" s="222"/>
    </row>
    <row r="41" spans="2:21" ht="24" customHeight="1" thickBot="1" x14ac:dyDescent="0.2">
      <c r="B41" s="607" t="s">
        <v>616</v>
      </c>
      <c r="C41" s="608"/>
      <c r="D41" s="606"/>
      <c r="E41" s="157"/>
      <c r="F41" s="157"/>
      <c r="G41" s="157"/>
      <c r="H41" s="157"/>
      <c r="I41" s="157"/>
      <c r="J41" s="157"/>
      <c r="K41" s="157"/>
      <c r="L41" s="174"/>
      <c r="M41" s="210"/>
      <c r="N41" s="189"/>
      <c r="O41" s="210"/>
      <c r="P41" s="154"/>
      <c r="Q41" s="155"/>
      <c r="R41" s="156"/>
      <c r="S41" s="271"/>
      <c r="U41" s="260"/>
    </row>
    <row r="42" spans="2:21" ht="24" customHeight="1" x14ac:dyDescent="0.15">
      <c r="B42" s="123" t="s">
        <v>221</v>
      </c>
      <c r="C42" s="124"/>
      <c r="D42" s="122"/>
      <c r="E42" s="238"/>
      <c r="F42" s="238"/>
      <c r="G42" s="238"/>
      <c r="H42" s="238"/>
      <c r="I42" s="238"/>
      <c r="J42" s="238"/>
      <c r="K42" s="239"/>
      <c r="L42" s="182"/>
      <c r="M42" s="130"/>
      <c r="N42" s="192"/>
      <c r="O42" s="208"/>
      <c r="P42" s="220"/>
      <c r="Q42" s="225"/>
      <c r="R42" s="105"/>
      <c r="S42" s="269"/>
      <c r="U42" s="259"/>
    </row>
    <row r="44" spans="2:21" ht="14.25" x14ac:dyDescent="0.15">
      <c r="C44" s="28" t="s">
        <v>526</v>
      </c>
    </row>
    <row r="45" spans="2:21" ht="14.25" x14ac:dyDescent="0.15">
      <c r="C45" s="28" t="s">
        <v>519</v>
      </c>
    </row>
    <row r="46" spans="2:21" ht="14.25" x14ac:dyDescent="0.15">
      <c r="C46" s="28" t="s">
        <v>557</v>
      </c>
    </row>
    <row r="47" spans="2:21" ht="14.25" x14ac:dyDescent="0.15">
      <c r="C47" s="28" t="s">
        <v>559</v>
      </c>
    </row>
    <row r="49" spans="2:4" ht="24" customHeight="1" x14ac:dyDescent="0.15">
      <c r="B49" s="136"/>
      <c r="C49" s="136"/>
      <c r="D49" s="136"/>
    </row>
    <row r="50" spans="2:4" ht="24" customHeight="1" x14ac:dyDescent="0.15">
      <c r="B50" s="136"/>
      <c r="C50" s="136"/>
      <c r="D50" s="136"/>
    </row>
    <row r="51" spans="2:4" ht="24" customHeight="1" x14ac:dyDescent="0.15">
      <c r="B51" s="136"/>
      <c r="C51" s="136"/>
      <c r="D51" s="136"/>
    </row>
    <row r="52" spans="2:4" ht="24" customHeight="1" x14ac:dyDescent="0.15">
      <c r="B52" s="136"/>
      <c r="C52" s="136"/>
      <c r="D52" s="136"/>
    </row>
  </sheetData>
  <mergeCells count="16">
    <mergeCell ref="Q2:U2"/>
    <mergeCell ref="B4:D5"/>
    <mergeCell ref="B7:B8"/>
    <mergeCell ref="B37:D37"/>
    <mergeCell ref="U22:U25"/>
    <mergeCell ref="B26:C26"/>
    <mergeCell ref="U26:U35"/>
    <mergeCell ref="B28:C28"/>
    <mergeCell ref="B30:C30"/>
    <mergeCell ref="B32:C32"/>
    <mergeCell ref="B34:C34"/>
    <mergeCell ref="B11:B18"/>
    <mergeCell ref="C13:D13"/>
    <mergeCell ref="C14:C18"/>
    <mergeCell ref="B2:K2"/>
    <mergeCell ref="M2:O2"/>
  </mergeCells>
  <phoneticPr fontId="2"/>
  <pageMargins left="0.70866141732283472" right="0.70866141732283472" top="0.74803149606299213" bottom="0.74803149606299213" header="0.31496062992125984" footer="0.31496062992125984"/>
  <pageSetup paperSize="9" scale="52"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H40"/>
  <sheetViews>
    <sheetView showGridLines="0" view="pageBreakPreview" zoomScale="70" zoomScaleNormal="85" zoomScaleSheetLayoutView="70" workbookViewId="0">
      <selection activeCell="D38" sqref="D38"/>
    </sheetView>
  </sheetViews>
  <sheetFormatPr defaultRowHeight="13.5" x14ac:dyDescent="0.15"/>
  <cols>
    <col min="1" max="2" width="2.75" customWidth="1"/>
    <col min="3" max="3" width="2" customWidth="1"/>
    <col min="4" max="4" width="105.75" customWidth="1"/>
    <col min="5" max="5" width="3.25" customWidth="1"/>
  </cols>
  <sheetData>
    <row r="2" spans="3:4" ht="14.25" x14ac:dyDescent="0.15">
      <c r="C2" s="121"/>
      <c r="D2" s="121"/>
    </row>
    <row r="3" spans="3:4" ht="14.25" x14ac:dyDescent="0.15">
      <c r="C3" s="121"/>
      <c r="D3" s="121"/>
    </row>
    <row r="4" spans="3:4" ht="18" customHeight="1" x14ac:dyDescent="0.15">
      <c r="C4" s="138"/>
      <c r="D4" s="317" t="s">
        <v>560</v>
      </c>
    </row>
    <row r="5" spans="3:4" ht="18" customHeight="1" x14ac:dyDescent="0.15">
      <c r="C5" s="138"/>
      <c r="D5" s="121"/>
    </row>
    <row r="6" spans="3:4" ht="18" customHeight="1" x14ac:dyDescent="0.15">
      <c r="C6" s="138" t="s">
        <v>561</v>
      </c>
      <c r="D6" s="121" t="s">
        <v>562</v>
      </c>
    </row>
    <row r="7" spans="3:4" ht="18" customHeight="1" x14ac:dyDescent="0.15">
      <c r="C7" s="138"/>
      <c r="D7" s="121" t="s">
        <v>563</v>
      </c>
    </row>
    <row r="8" spans="3:4" ht="18" customHeight="1" x14ac:dyDescent="0.15">
      <c r="C8" s="138"/>
      <c r="D8" s="121"/>
    </row>
    <row r="9" spans="3:4" ht="18" customHeight="1" x14ac:dyDescent="0.15">
      <c r="C9" s="138" t="s">
        <v>561</v>
      </c>
      <c r="D9" s="121" t="s">
        <v>622</v>
      </c>
    </row>
    <row r="10" spans="3:4" ht="18" customHeight="1" x14ac:dyDescent="0.15">
      <c r="C10" s="138"/>
      <c r="D10" s="121"/>
    </row>
    <row r="11" spans="3:4" ht="18" customHeight="1" x14ac:dyDescent="0.15">
      <c r="C11" s="138" t="s">
        <v>561</v>
      </c>
      <c r="D11" s="316" t="s">
        <v>564</v>
      </c>
    </row>
    <row r="12" spans="3:4" ht="18" customHeight="1" x14ac:dyDescent="0.15">
      <c r="C12" s="138"/>
      <c r="D12" s="121"/>
    </row>
    <row r="13" spans="3:4" ht="18" customHeight="1" x14ac:dyDescent="0.15">
      <c r="C13" s="138" t="s">
        <v>561</v>
      </c>
      <c r="D13" s="316" t="s">
        <v>565</v>
      </c>
    </row>
    <row r="14" spans="3:4" ht="18" customHeight="1" x14ac:dyDescent="0.15">
      <c r="C14" s="138"/>
      <c r="D14" s="121" t="s">
        <v>566</v>
      </c>
    </row>
    <row r="15" spans="3:4" ht="18" customHeight="1" x14ac:dyDescent="0.15">
      <c r="C15" s="138"/>
      <c r="D15" s="121" t="s">
        <v>567</v>
      </c>
    </row>
    <row r="16" spans="3:4" ht="18" customHeight="1" x14ac:dyDescent="0.15">
      <c r="C16" s="138"/>
      <c r="D16" s="121" t="s">
        <v>568</v>
      </c>
    </row>
    <row r="17" spans="3:4" ht="18" customHeight="1" x14ac:dyDescent="0.15">
      <c r="C17" s="138"/>
      <c r="D17" s="121"/>
    </row>
    <row r="18" spans="3:4" ht="18" customHeight="1" x14ac:dyDescent="0.15">
      <c r="C18" s="138" t="s">
        <v>571</v>
      </c>
      <c r="D18" s="316" t="s">
        <v>569</v>
      </c>
    </row>
    <row r="19" spans="3:4" ht="18" customHeight="1" x14ac:dyDescent="0.15">
      <c r="C19" s="138"/>
      <c r="D19" s="121" t="s">
        <v>570</v>
      </c>
    </row>
    <row r="20" spans="3:4" ht="18" customHeight="1" x14ac:dyDescent="0.15">
      <c r="C20" s="138"/>
      <c r="D20" s="121"/>
    </row>
    <row r="21" spans="3:4" ht="18" customHeight="1" x14ac:dyDescent="0.15">
      <c r="C21" s="138"/>
      <c r="D21" s="121"/>
    </row>
    <row r="22" spans="3:4" ht="18" customHeight="1" x14ac:dyDescent="0.15">
      <c r="C22" s="138"/>
      <c r="D22" s="121"/>
    </row>
    <row r="23" spans="3:4" ht="14.25" x14ac:dyDescent="0.15">
      <c r="C23" s="121"/>
      <c r="D23" s="121"/>
    </row>
    <row r="24" spans="3:4" ht="14.25" x14ac:dyDescent="0.15">
      <c r="C24" s="121"/>
      <c r="D24" s="121"/>
    </row>
    <row r="25" spans="3:4" ht="14.25" x14ac:dyDescent="0.15">
      <c r="C25" s="121"/>
      <c r="D25" s="121"/>
    </row>
    <row r="26" spans="3:4" ht="14.25" x14ac:dyDescent="0.15">
      <c r="C26" s="121"/>
      <c r="D26" s="121"/>
    </row>
    <row r="40" spans="8:8" x14ac:dyDescent="0.15">
      <c r="H40" s="6"/>
    </row>
  </sheetData>
  <phoneticPr fontId="2"/>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216"/>
  <sheetViews>
    <sheetView showGridLines="0" view="pageBreakPreview" zoomScale="85" zoomScaleNormal="100" zoomScaleSheetLayoutView="85" workbookViewId="0">
      <selection activeCell="F8" sqref="F8"/>
    </sheetView>
  </sheetViews>
  <sheetFormatPr defaultRowHeight="13.5" x14ac:dyDescent="0.15"/>
  <cols>
    <col min="1" max="1" width="3.75" style="318" customWidth="1"/>
    <col min="2" max="2" width="3.125" style="318" customWidth="1"/>
    <col min="3" max="3" width="3.125" style="320" customWidth="1"/>
    <col min="4" max="4" width="86.875" style="318" customWidth="1"/>
    <col min="5" max="16384" width="9" style="318"/>
  </cols>
  <sheetData>
    <row r="4" spans="2:4" ht="18" customHeight="1" x14ac:dyDescent="0.15">
      <c r="B4" s="662" t="s">
        <v>426</v>
      </c>
      <c r="C4" s="662"/>
      <c r="D4" s="662"/>
    </row>
    <row r="5" spans="2:4" ht="15" customHeight="1" x14ac:dyDescent="0.15"/>
    <row r="6" spans="2:4" ht="15" customHeight="1" x14ac:dyDescent="0.15">
      <c r="B6" s="321" t="s">
        <v>385</v>
      </c>
    </row>
    <row r="7" spans="2:4" ht="15" customHeight="1" x14ac:dyDescent="0.15">
      <c r="C7" s="320" t="s">
        <v>386</v>
      </c>
      <c r="D7" s="319" t="s">
        <v>387</v>
      </c>
    </row>
    <row r="8" spans="2:4" ht="15" customHeight="1" x14ac:dyDescent="0.15">
      <c r="D8" s="319" t="s">
        <v>388</v>
      </c>
    </row>
    <row r="9" spans="2:4" ht="15" customHeight="1" x14ac:dyDescent="0.15">
      <c r="D9" s="319" t="s">
        <v>389</v>
      </c>
    </row>
    <row r="10" spans="2:4" ht="15" customHeight="1" x14ac:dyDescent="0.15">
      <c r="D10" s="319" t="s">
        <v>390</v>
      </c>
    </row>
    <row r="11" spans="2:4" ht="15" customHeight="1" x14ac:dyDescent="0.15">
      <c r="D11" s="319" t="s">
        <v>391</v>
      </c>
    </row>
    <row r="12" spans="2:4" ht="15" customHeight="1" x14ac:dyDescent="0.15">
      <c r="D12" s="319" t="s">
        <v>392</v>
      </c>
    </row>
    <row r="13" spans="2:4" ht="15" customHeight="1" x14ac:dyDescent="0.15"/>
    <row r="14" spans="2:4" ht="15" customHeight="1" x14ac:dyDescent="0.15">
      <c r="C14" s="320" t="s">
        <v>386</v>
      </c>
      <c r="D14" s="319" t="s">
        <v>393</v>
      </c>
    </row>
    <row r="15" spans="2:4" ht="15" customHeight="1" x14ac:dyDescent="0.15">
      <c r="D15" s="319" t="s">
        <v>394</v>
      </c>
    </row>
    <row r="16" spans="2:4" ht="15" customHeight="1" x14ac:dyDescent="0.15">
      <c r="D16" s="319" t="s">
        <v>395</v>
      </c>
    </row>
    <row r="17" spans="3:4" ht="15" customHeight="1" x14ac:dyDescent="0.15">
      <c r="D17" s="319" t="s">
        <v>396</v>
      </c>
    </row>
    <row r="18" spans="3:4" ht="15" customHeight="1" x14ac:dyDescent="0.15"/>
    <row r="19" spans="3:4" ht="15" customHeight="1" x14ac:dyDescent="0.15"/>
    <row r="20" spans="3:4" ht="15" customHeight="1" x14ac:dyDescent="0.15"/>
    <row r="21" spans="3:4" ht="15" customHeight="1" x14ac:dyDescent="0.15"/>
    <row r="22" spans="3:4" ht="15" customHeight="1" x14ac:dyDescent="0.15"/>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C28" s="320" t="s">
        <v>398</v>
      </c>
      <c r="D28" s="319" t="s">
        <v>397</v>
      </c>
    </row>
    <row r="29" spans="3:4" ht="15" customHeight="1" x14ac:dyDescent="0.15">
      <c r="D29" s="319" t="s">
        <v>399</v>
      </c>
    </row>
    <row r="30" spans="3:4" ht="15" customHeight="1" x14ac:dyDescent="0.15"/>
    <row r="31" spans="3:4" ht="15" customHeight="1" x14ac:dyDescent="0.15">
      <c r="C31" s="320" t="s">
        <v>398</v>
      </c>
      <c r="D31" s="319" t="s">
        <v>400</v>
      </c>
    </row>
    <row r="32" spans="3:4" ht="15" customHeight="1" x14ac:dyDescent="0.15"/>
    <row r="33" spans="3:4" ht="15" customHeight="1" x14ac:dyDescent="0.15"/>
    <row r="34" spans="3:4" ht="15" customHeight="1" x14ac:dyDescent="0.15"/>
    <row r="35" spans="3:4" ht="15" customHeight="1" x14ac:dyDescent="0.15"/>
    <row r="36" spans="3:4" ht="15" customHeight="1" x14ac:dyDescent="0.15"/>
    <row r="37" spans="3:4" ht="15" customHeight="1" x14ac:dyDescent="0.15"/>
    <row r="38" spans="3:4" ht="15" customHeight="1" x14ac:dyDescent="0.15"/>
    <row r="39" spans="3:4" ht="15" customHeight="1" x14ac:dyDescent="0.15"/>
    <row r="40" spans="3:4" ht="15" customHeight="1" x14ac:dyDescent="0.15"/>
    <row r="41" spans="3:4" ht="15" customHeight="1" x14ac:dyDescent="0.15"/>
    <row r="42" spans="3:4" ht="15" customHeight="1" x14ac:dyDescent="0.15"/>
    <row r="43" spans="3:4" ht="15" customHeight="1" x14ac:dyDescent="0.15"/>
    <row r="44" spans="3:4" ht="15" customHeight="1" x14ac:dyDescent="0.15"/>
    <row r="45" spans="3:4" ht="15" customHeight="1" x14ac:dyDescent="0.15"/>
    <row r="46" spans="3:4" ht="15" customHeight="1" x14ac:dyDescent="0.15"/>
    <row r="47" spans="3:4" ht="15" customHeight="1" x14ac:dyDescent="0.15"/>
    <row r="48" spans="3:4" ht="15" customHeight="1" x14ac:dyDescent="0.15">
      <c r="C48" s="320" t="s">
        <v>398</v>
      </c>
      <c r="D48" s="319" t="s">
        <v>401</v>
      </c>
    </row>
    <row r="49" spans="2:4" ht="15" customHeight="1" x14ac:dyDescent="0.15">
      <c r="D49" s="319" t="s">
        <v>402</v>
      </c>
    </row>
    <row r="50" spans="2:4" ht="15" customHeight="1" x14ac:dyDescent="0.15">
      <c r="D50" s="319" t="s">
        <v>403</v>
      </c>
    </row>
    <row r="51" spans="2:4" ht="15" customHeight="1" x14ac:dyDescent="0.15">
      <c r="D51" s="319" t="s">
        <v>404</v>
      </c>
    </row>
    <row r="52" spans="2:4" ht="15" customHeight="1" x14ac:dyDescent="0.15"/>
    <row r="53" spans="2:4" ht="15" customHeight="1" x14ac:dyDescent="0.15"/>
    <row r="54" spans="2:4" ht="15" customHeight="1" x14ac:dyDescent="0.15">
      <c r="B54" s="321" t="s">
        <v>405</v>
      </c>
    </row>
    <row r="55" spans="2:4" ht="15" customHeight="1" x14ac:dyDescent="0.15">
      <c r="C55" s="319" t="s">
        <v>406</v>
      </c>
    </row>
    <row r="56" spans="2:4" ht="15" customHeight="1" x14ac:dyDescent="0.15">
      <c r="D56" s="319" t="s">
        <v>407</v>
      </c>
    </row>
    <row r="57" spans="2:4" ht="15" customHeight="1" x14ac:dyDescent="0.15">
      <c r="D57" s="319" t="s">
        <v>408</v>
      </c>
    </row>
    <row r="58" spans="2:4" ht="15" customHeight="1" x14ac:dyDescent="0.15">
      <c r="D58" s="319" t="s">
        <v>409</v>
      </c>
    </row>
    <row r="59" spans="2:4" ht="15" customHeight="1" x14ac:dyDescent="0.15">
      <c r="D59" s="319" t="s">
        <v>410</v>
      </c>
    </row>
    <row r="60" spans="2:4" ht="15" customHeight="1" x14ac:dyDescent="0.15"/>
    <row r="61" spans="2:4" ht="15" customHeight="1" x14ac:dyDescent="0.15">
      <c r="C61" s="319" t="s">
        <v>411</v>
      </c>
    </row>
    <row r="62" spans="2:4" ht="15" customHeight="1" x14ac:dyDescent="0.15">
      <c r="D62" s="319" t="s">
        <v>412</v>
      </c>
    </row>
    <row r="63" spans="2:4" ht="15" customHeight="1" x14ac:dyDescent="0.15">
      <c r="D63" s="319" t="s">
        <v>413</v>
      </c>
    </row>
    <row r="64" spans="2:4" ht="15" customHeight="1" x14ac:dyDescent="0.15">
      <c r="D64" s="319" t="s">
        <v>414</v>
      </c>
    </row>
    <row r="65" spans="3:4" ht="15" customHeight="1" x14ac:dyDescent="0.15"/>
    <row r="66" spans="3:4" ht="15" customHeight="1" x14ac:dyDescent="0.15">
      <c r="C66" s="609" t="s">
        <v>617</v>
      </c>
      <c r="D66" s="610"/>
    </row>
    <row r="67" spans="3:4" ht="15" customHeight="1" x14ac:dyDescent="0.15">
      <c r="C67" s="611"/>
      <c r="D67" s="609" t="s">
        <v>618</v>
      </c>
    </row>
    <row r="68" spans="3:4" ht="15" customHeight="1" x14ac:dyDescent="0.15"/>
    <row r="69" spans="3:4" ht="15" customHeight="1" x14ac:dyDescent="0.15">
      <c r="C69" s="319" t="s">
        <v>415</v>
      </c>
    </row>
    <row r="70" spans="3:4" ht="15" customHeight="1" x14ac:dyDescent="0.15">
      <c r="D70" s="319" t="s">
        <v>416</v>
      </c>
    </row>
    <row r="71" spans="3:4" ht="15" customHeight="1" x14ac:dyDescent="0.15">
      <c r="D71" s="319" t="s">
        <v>417</v>
      </c>
    </row>
    <row r="72" spans="3:4" ht="15" customHeight="1" x14ac:dyDescent="0.15">
      <c r="D72" s="319" t="s">
        <v>453</v>
      </c>
    </row>
    <row r="73" spans="3:4" ht="15" customHeight="1" x14ac:dyDescent="0.15">
      <c r="D73" s="319" t="s">
        <v>454</v>
      </c>
    </row>
    <row r="74" spans="3:4" ht="15" customHeight="1" x14ac:dyDescent="0.15">
      <c r="D74" s="319" t="s">
        <v>455</v>
      </c>
    </row>
    <row r="75" spans="3:4" ht="15" customHeight="1" x14ac:dyDescent="0.15">
      <c r="D75" s="319" t="s">
        <v>456</v>
      </c>
    </row>
    <row r="76" spans="3:4" ht="15" customHeight="1" x14ac:dyDescent="0.15"/>
    <row r="77" spans="3:4" ht="15" customHeight="1" x14ac:dyDescent="0.15">
      <c r="C77" s="319" t="s">
        <v>418</v>
      </c>
    </row>
    <row r="78" spans="3:4" ht="15" customHeight="1" x14ac:dyDescent="0.15">
      <c r="D78" s="319" t="s">
        <v>419</v>
      </c>
    </row>
    <row r="79" spans="3:4" ht="15" customHeight="1" x14ac:dyDescent="0.15">
      <c r="D79" s="319" t="s">
        <v>420</v>
      </c>
    </row>
    <row r="80" spans="3:4" ht="15" customHeight="1" x14ac:dyDescent="0.15"/>
    <row r="81" spans="3:4" ht="15" customHeight="1" x14ac:dyDescent="0.15">
      <c r="C81" s="319" t="s">
        <v>421</v>
      </c>
    </row>
    <row r="82" spans="3:4" ht="15" customHeight="1" x14ac:dyDescent="0.15">
      <c r="D82" s="319" t="s">
        <v>457</v>
      </c>
    </row>
    <row r="83" spans="3:4" ht="15" customHeight="1" x14ac:dyDescent="0.15"/>
    <row r="84" spans="3:4" ht="15" customHeight="1" x14ac:dyDescent="0.15">
      <c r="C84" s="319" t="s">
        <v>422</v>
      </c>
    </row>
    <row r="85" spans="3:4" ht="15" customHeight="1" x14ac:dyDescent="0.15">
      <c r="D85" s="319" t="s">
        <v>423</v>
      </c>
    </row>
    <row r="86" spans="3:4" ht="15" customHeight="1" x14ac:dyDescent="0.15">
      <c r="D86" s="319" t="s">
        <v>424</v>
      </c>
    </row>
    <row r="87" spans="3:4" ht="15" customHeight="1" x14ac:dyDescent="0.15">
      <c r="D87" s="319" t="s">
        <v>425</v>
      </c>
    </row>
    <row r="88" spans="3:4" ht="15" customHeight="1" x14ac:dyDescent="0.15"/>
    <row r="89" spans="3:4" ht="15" customHeight="1" x14ac:dyDescent="0.15"/>
    <row r="90" spans="3:4" ht="15" customHeight="1" x14ac:dyDescent="0.15"/>
    <row r="91" spans="3:4" ht="15" customHeight="1" x14ac:dyDescent="0.15"/>
    <row r="92" spans="3:4" ht="15" customHeight="1" x14ac:dyDescent="0.15"/>
    <row r="93" spans="3:4" ht="15" customHeight="1" x14ac:dyDescent="0.15"/>
    <row r="94" spans="3:4" ht="15" customHeight="1" x14ac:dyDescent="0.15"/>
    <row r="95" spans="3:4" ht="15" customHeight="1" x14ac:dyDescent="0.15"/>
    <row r="96" spans="3:4"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sheetData>
  <mergeCells count="1">
    <mergeCell ref="B4:D4"/>
  </mergeCells>
  <phoneticPr fontId="2"/>
  <pageMargins left="0.70866141732283472" right="0.70866141732283472" top="0.74803149606299213" bottom="0.74803149606299213" header="0.31496062992125984" footer="0.31496062992125984"/>
  <pageSetup paperSize="9" scale="92" fitToHeight="0"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53"/>
  <sheetViews>
    <sheetView showGridLines="0" view="pageBreakPreview" zoomScale="70" zoomScaleNormal="100" zoomScaleSheetLayoutView="70" workbookViewId="0">
      <selection activeCell="G33" sqref="G33"/>
    </sheetView>
  </sheetViews>
  <sheetFormatPr defaultRowHeight="13.5" x14ac:dyDescent="0.15"/>
  <cols>
    <col min="1" max="2" width="2.75" customWidth="1"/>
    <col min="3" max="3" width="9.5" customWidth="1"/>
    <col min="4" max="4" width="2" customWidth="1"/>
    <col min="5" max="5" width="97" customWidth="1"/>
    <col min="6" max="6" width="3.25" customWidth="1"/>
  </cols>
  <sheetData>
    <row r="2" spans="3:5" ht="17.25" x14ac:dyDescent="0.15">
      <c r="C2" s="140" t="s">
        <v>158</v>
      </c>
    </row>
    <row r="3" spans="3:5" ht="14.25" x14ac:dyDescent="0.15">
      <c r="C3" s="28"/>
    </row>
    <row r="5" spans="3:5" ht="18" customHeight="1" x14ac:dyDescent="0.15">
      <c r="C5" s="137" t="s">
        <v>159</v>
      </c>
      <c r="D5" s="138" t="s">
        <v>162</v>
      </c>
      <c r="E5" s="121" t="s">
        <v>172</v>
      </c>
    </row>
    <row r="6" spans="3:5" ht="18" customHeight="1" x14ac:dyDescent="0.15">
      <c r="C6" s="137" t="s">
        <v>160</v>
      </c>
      <c r="D6" s="138" t="s">
        <v>162</v>
      </c>
      <c r="E6" s="121" t="s">
        <v>163</v>
      </c>
    </row>
    <row r="7" spans="3:5" ht="18" customHeight="1" x14ac:dyDescent="0.15">
      <c r="C7" s="137" t="s">
        <v>161</v>
      </c>
      <c r="D7" s="138" t="s">
        <v>162</v>
      </c>
      <c r="E7" s="139" t="s">
        <v>164</v>
      </c>
    </row>
    <row r="8" spans="3:5" ht="18" customHeight="1" x14ac:dyDescent="0.15">
      <c r="C8" s="121"/>
      <c r="D8" s="121"/>
      <c r="E8" s="139" t="s">
        <v>186</v>
      </c>
    </row>
    <row r="9" spans="3:5" ht="18" customHeight="1" x14ac:dyDescent="0.15">
      <c r="C9" s="121"/>
      <c r="D9" s="121"/>
      <c r="E9" s="139" t="s">
        <v>183</v>
      </c>
    </row>
    <row r="10" spans="3:5" ht="14.25" x14ac:dyDescent="0.15">
      <c r="C10" s="121"/>
      <c r="D10" s="121"/>
      <c r="E10" s="121"/>
    </row>
    <row r="11" spans="3:5" ht="14.25" x14ac:dyDescent="0.15">
      <c r="C11" s="121"/>
      <c r="D11" s="121"/>
      <c r="E11" s="121"/>
    </row>
    <row r="12" spans="3:5" ht="14.25" x14ac:dyDescent="0.15">
      <c r="C12" s="121"/>
      <c r="D12" s="121"/>
      <c r="E12" s="121"/>
    </row>
    <row r="13" spans="3:5" ht="14.25" x14ac:dyDescent="0.15">
      <c r="C13" s="121"/>
      <c r="D13" s="121"/>
      <c r="E13" s="121"/>
    </row>
    <row r="14" spans="3:5" ht="14.25" x14ac:dyDescent="0.15">
      <c r="C14" s="121"/>
      <c r="D14" s="121"/>
      <c r="E14" s="121"/>
    </row>
    <row r="15" spans="3:5" ht="18" customHeight="1" x14ac:dyDescent="0.15">
      <c r="C15" s="137" t="s">
        <v>159</v>
      </c>
      <c r="D15" s="138" t="s">
        <v>162</v>
      </c>
      <c r="E15" s="121" t="s">
        <v>165</v>
      </c>
    </row>
    <row r="16" spans="3:5" ht="18" customHeight="1" x14ac:dyDescent="0.15">
      <c r="C16" s="137" t="s">
        <v>184</v>
      </c>
      <c r="D16" s="138" t="s">
        <v>162</v>
      </c>
      <c r="E16" s="121" t="s">
        <v>173</v>
      </c>
    </row>
    <row r="17" spans="3:5" ht="18" customHeight="1" x14ac:dyDescent="0.15">
      <c r="C17" s="137"/>
      <c r="D17" s="138"/>
      <c r="E17" s="121" t="s">
        <v>174</v>
      </c>
    </row>
    <row r="18" spans="3:5" ht="18" customHeight="1" x14ac:dyDescent="0.15">
      <c r="C18" s="137" t="s">
        <v>161</v>
      </c>
      <c r="D18" s="138" t="s">
        <v>162</v>
      </c>
      <c r="E18" s="121" t="s">
        <v>166</v>
      </c>
    </row>
    <row r="19" spans="3:5" ht="18" customHeight="1" x14ac:dyDescent="0.15">
      <c r="C19" s="121"/>
      <c r="D19" s="121"/>
      <c r="E19" s="139" t="s">
        <v>167</v>
      </c>
    </row>
    <row r="20" spans="3:5" ht="14.25" x14ac:dyDescent="0.15">
      <c r="C20" s="121"/>
      <c r="D20" s="121"/>
      <c r="E20" s="121"/>
    </row>
    <row r="21" spans="3:5" ht="14.25" x14ac:dyDescent="0.15">
      <c r="C21" s="121"/>
      <c r="D21" s="121"/>
      <c r="E21" s="121"/>
    </row>
    <row r="22" spans="3:5" ht="14.25" x14ac:dyDescent="0.15">
      <c r="C22" s="121"/>
      <c r="D22" s="121"/>
      <c r="E22" s="121"/>
    </row>
    <row r="23" spans="3:5" ht="14.25" x14ac:dyDescent="0.15">
      <c r="C23" s="121"/>
      <c r="D23" s="121"/>
      <c r="E23" s="121"/>
    </row>
    <row r="24" spans="3:5" ht="14.25" x14ac:dyDescent="0.15">
      <c r="C24" s="121"/>
      <c r="D24" s="121"/>
      <c r="E24" s="121"/>
    </row>
    <row r="25" spans="3:5" ht="18" customHeight="1" x14ac:dyDescent="0.15">
      <c r="C25" s="137" t="s">
        <v>159</v>
      </c>
      <c r="D25" s="138" t="s">
        <v>162</v>
      </c>
      <c r="E25" s="612" t="s">
        <v>619</v>
      </c>
    </row>
    <row r="26" spans="3:5" ht="18" customHeight="1" x14ac:dyDescent="0.15">
      <c r="C26" s="137" t="s">
        <v>184</v>
      </c>
      <c r="D26" s="138" t="s">
        <v>162</v>
      </c>
      <c r="E26" s="612" t="s">
        <v>173</v>
      </c>
    </row>
    <row r="27" spans="3:5" ht="18" customHeight="1" x14ac:dyDescent="0.15">
      <c r="C27" s="137"/>
      <c r="D27" s="138"/>
      <c r="E27" s="612" t="s">
        <v>175</v>
      </c>
    </row>
    <row r="28" spans="3:5" ht="18" customHeight="1" x14ac:dyDescent="0.15">
      <c r="C28" s="137" t="s">
        <v>161</v>
      </c>
      <c r="D28" s="138" t="s">
        <v>162</v>
      </c>
      <c r="E28" s="612" t="s">
        <v>620</v>
      </c>
    </row>
    <row r="29" spans="3:5" ht="18" customHeight="1" x14ac:dyDescent="0.15">
      <c r="C29" s="137"/>
      <c r="D29" s="138"/>
      <c r="E29" s="121" t="s">
        <v>181</v>
      </c>
    </row>
    <row r="30" spans="3:5" ht="18" customHeight="1" x14ac:dyDescent="0.15">
      <c r="C30" s="121"/>
      <c r="D30" s="121"/>
      <c r="E30" s="121" t="s">
        <v>168</v>
      </c>
    </row>
    <row r="31" spans="3:5" ht="18" customHeight="1" x14ac:dyDescent="0.15">
      <c r="C31" s="121"/>
      <c r="D31" s="121"/>
      <c r="E31" s="139" t="s">
        <v>169</v>
      </c>
    </row>
    <row r="32" spans="3:5" ht="14.25" x14ac:dyDescent="0.15">
      <c r="C32" s="121"/>
      <c r="D32" s="121"/>
      <c r="E32" s="121"/>
    </row>
    <row r="33" spans="3:5" ht="14.25" x14ac:dyDescent="0.15">
      <c r="C33" s="121"/>
      <c r="D33" s="121"/>
      <c r="E33" s="121"/>
    </row>
    <row r="34" spans="3:5" ht="14.25" x14ac:dyDescent="0.15">
      <c r="C34" s="121"/>
      <c r="D34" s="121"/>
      <c r="E34" s="121"/>
    </row>
    <row r="35" spans="3:5" ht="14.25" x14ac:dyDescent="0.15">
      <c r="C35" s="121"/>
      <c r="D35" s="121"/>
      <c r="E35" s="121"/>
    </row>
    <row r="36" spans="3:5" ht="14.25" x14ac:dyDescent="0.15">
      <c r="C36" s="121"/>
      <c r="D36" s="121"/>
      <c r="E36" s="121"/>
    </row>
    <row r="37" spans="3:5" ht="18" customHeight="1" x14ac:dyDescent="0.15">
      <c r="C37" s="137" t="s">
        <v>159</v>
      </c>
      <c r="D37" s="138" t="s">
        <v>162</v>
      </c>
      <c r="E37" s="121" t="s">
        <v>170</v>
      </c>
    </row>
    <row r="38" spans="3:5" ht="18" customHeight="1" x14ac:dyDescent="0.15">
      <c r="C38" s="137" t="s">
        <v>184</v>
      </c>
      <c r="D38" s="138" t="s">
        <v>162</v>
      </c>
      <c r="E38" s="121" t="s">
        <v>176</v>
      </c>
    </row>
    <row r="39" spans="3:5" ht="18" customHeight="1" x14ac:dyDescent="0.15">
      <c r="C39" s="137"/>
      <c r="D39" s="138"/>
      <c r="E39" s="121" t="s">
        <v>177</v>
      </c>
    </row>
    <row r="40" spans="3:5" ht="18" customHeight="1" x14ac:dyDescent="0.15">
      <c r="C40" s="137"/>
      <c r="D40" s="138"/>
      <c r="E40" s="121" t="s">
        <v>182</v>
      </c>
    </row>
    <row r="41" spans="3:5" ht="18" customHeight="1" x14ac:dyDescent="0.15">
      <c r="C41" s="137" t="s">
        <v>161</v>
      </c>
      <c r="D41" s="138" t="s">
        <v>162</v>
      </c>
      <c r="E41" s="121" t="s">
        <v>178</v>
      </c>
    </row>
    <row r="42" spans="3:5" ht="14.25" x14ac:dyDescent="0.15">
      <c r="C42" s="121"/>
      <c r="D42" s="121"/>
      <c r="E42" s="121"/>
    </row>
    <row r="43" spans="3:5" ht="14.25" x14ac:dyDescent="0.15">
      <c r="C43" s="121"/>
      <c r="D43" s="121"/>
      <c r="E43" s="121"/>
    </row>
    <row r="44" spans="3:5" ht="14.25" x14ac:dyDescent="0.15">
      <c r="C44" s="121"/>
      <c r="D44" s="121"/>
      <c r="E44" s="121"/>
    </row>
    <row r="45" spans="3:5" ht="14.25" x14ac:dyDescent="0.15">
      <c r="C45" s="121"/>
      <c r="D45" s="121"/>
      <c r="E45" s="121"/>
    </row>
    <row r="46" spans="3:5" ht="14.25" x14ac:dyDescent="0.15">
      <c r="C46" s="121"/>
      <c r="D46" s="121"/>
      <c r="E46" s="121"/>
    </row>
    <row r="47" spans="3:5" ht="18" customHeight="1" x14ac:dyDescent="0.15">
      <c r="C47" s="137" t="s">
        <v>159</v>
      </c>
      <c r="D47" s="138" t="s">
        <v>162</v>
      </c>
      <c r="E47" s="121" t="s">
        <v>171</v>
      </c>
    </row>
    <row r="48" spans="3:5" ht="18" customHeight="1" x14ac:dyDescent="0.15">
      <c r="C48" s="137" t="s">
        <v>184</v>
      </c>
      <c r="D48" s="138" t="s">
        <v>162</v>
      </c>
      <c r="E48" s="121" t="s">
        <v>179</v>
      </c>
    </row>
    <row r="49" spans="2:5" ht="18" customHeight="1" x14ac:dyDescent="0.15">
      <c r="C49" s="137"/>
      <c r="D49" s="138"/>
      <c r="E49" s="121" t="s">
        <v>180</v>
      </c>
    </row>
    <row r="50" spans="2:5" ht="14.25" x14ac:dyDescent="0.15">
      <c r="C50" s="121"/>
      <c r="D50" s="121"/>
      <c r="E50" s="121"/>
    </row>
    <row r="51" spans="2:5" ht="14.25" x14ac:dyDescent="0.15">
      <c r="C51" s="121"/>
      <c r="D51" s="121"/>
      <c r="E51" s="121"/>
    </row>
    <row r="52" spans="2:5" ht="14.25" x14ac:dyDescent="0.15">
      <c r="C52" s="121"/>
      <c r="D52" s="121"/>
      <c r="E52" s="121"/>
    </row>
    <row r="53" spans="2:5" x14ac:dyDescent="0.15">
      <c r="B53" t="s">
        <v>185</v>
      </c>
    </row>
  </sheetData>
  <phoneticPr fontId="2"/>
  <pageMargins left="0.7" right="0.7" top="0.75" bottom="0.75" header="0.3" footer="0.3"/>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85" zoomScaleSheetLayoutView="70" workbookViewId="0">
      <pane xSplit="3" ySplit="5" topLeftCell="D6" activePane="bottomRight" state="frozen"/>
      <selection activeCell="D81" sqref="D81"/>
      <selection pane="topRight" activeCell="D81" sqref="D81"/>
      <selection pane="bottomLeft" activeCell="D81" sqref="D81"/>
      <selection pane="bottomRight" activeCell="A2" sqref="A2:XFD2"/>
    </sheetView>
  </sheetViews>
  <sheetFormatPr defaultRowHeight="13.5" x14ac:dyDescent="0.15"/>
  <cols>
    <col min="1" max="1" width="4.25" customWidth="1"/>
    <col min="2" max="2" width="17.375" customWidth="1"/>
    <col min="3" max="3" width="45.625" style="2" bestFit="1" customWidth="1"/>
    <col min="4" max="4" width="19.625" customWidth="1"/>
    <col min="5" max="5" width="6.875" customWidth="1"/>
    <col min="6" max="16" width="15.375" customWidth="1"/>
    <col min="17" max="17" width="15.375" style="6" customWidth="1"/>
    <col min="18" max="18" width="15.375" customWidth="1"/>
    <col min="19" max="20" width="15.375" style="6" customWidth="1"/>
    <col min="21" max="40" width="15.375" customWidth="1"/>
    <col min="41" max="41" width="15.5" customWidth="1"/>
    <col min="42" max="43" width="15.375" customWidth="1"/>
    <col min="44" max="44" width="32.375" customWidth="1"/>
  </cols>
  <sheetData>
    <row r="1" spans="1:44" x14ac:dyDescent="0.15">
      <c r="B1" t="s">
        <v>572</v>
      </c>
      <c r="E1" s="2"/>
      <c r="G1" s="2"/>
      <c r="I1" s="2"/>
      <c r="K1" s="2"/>
      <c r="M1" s="2"/>
      <c r="O1" s="2"/>
      <c r="S1" s="594"/>
      <c r="U1" s="2"/>
      <c r="W1" s="2"/>
      <c r="Y1" s="2"/>
      <c r="AA1" s="2"/>
      <c r="AC1" s="2"/>
      <c r="AE1" s="2"/>
      <c r="AG1" s="2"/>
      <c r="AI1" s="2"/>
      <c r="AK1" s="2"/>
      <c r="AM1" s="2"/>
      <c r="AO1" s="2"/>
      <c r="AQ1" s="2"/>
    </row>
    <row r="2" spans="1:44" ht="14.25" x14ac:dyDescent="0.15">
      <c r="C2" s="272"/>
      <c r="D2" s="28"/>
      <c r="E2" s="28"/>
      <c r="F2" s="273" t="s">
        <v>26</v>
      </c>
      <c r="G2" s="273" t="s">
        <v>26</v>
      </c>
      <c r="H2" s="273" t="s">
        <v>26</v>
      </c>
      <c r="I2" s="273" t="s">
        <v>26</v>
      </c>
      <c r="J2" s="273" t="s">
        <v>27</v>
      </c>
      <c r="K2" s="273" t="s">
        <v>26</v>
      </c>
      <c r="L2" s="273"/>
      <c r="M2" s="273"/>
      <c r="N2" s="273"/>
      <c r="O2" s="273"/>
      <c r="P2" s="273" t="s">
        <v>26</v>
      </c>
      <c r="Q2" s="601"/>
      <c r="R2" s="273" t="s">
        <v>26</v>
      </c>
      <c r="S2" s="601" t="s">
        <v>26</v>
      </c>
      <c r="T2" s="601"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301</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52" t="s">
        <v>3</v>
      </c>
      <c r="H4" s="552" t="s">
        <v>309</v>
      </c>
      <c r="I4" s="275" t="s">
        <v>5</v>
      </c>
      <c r="J4" s="276" t="s">
        <v>1</v>
      </c>
      <c r="K4" s="277" t="s">
        <v>310</v>
      </c>
      <c r="L4" s="552" t="s">
        <v>311</v>
      </c>
      <c r="M4" s="552" t="s">
        <v>312</v>
      </c>
      <c r="N4" s="552" t="s">
        <v>83</v>
      </c>
      <c r="O4" s="552" t="s">
        <v>84</v>
      </c>
      <c r="P4" s="553" t="s">
        <v>313</v>
      </c>
      <c r="Q4" s="605" t="s">
        <v>574</v>
      </c>
      <c r="R4" s="605" t="s">
        <v>314</v>
      </c>
      <c r="S4" s="605" t="s">
        <v>611</v>
      </c>
      <c r="T4" s="613" t="s">
        <v>593</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51"/>
      <c r="C5" s="112">
        <v>1</v>
      </c>
      <c r="D5" s="551">
        <v>2</v>
      </c>
      <c r="E5" s="112">
        <v>3</v>
      </c>
      <c r="F5" s="112">
        <v>4</v>
      </c>
      <c r="G5" s="551">
        <v>5</v>
      </c>
      <c r="H5" s="112">
        <v>6</v>
      </c>
      <c r="I5" s="278">
        <v>7</v>
      </c>
      <c r="J5" s="279">
        <v>8</v>
      </c>
      <c r="K5" s="198" t="s">
        <v>316</v>
      </c>
      <c r="L5" s="112">
        <v>10</v>
      </c>
      <c r="M5" s="551">
        <v>11</v>
      </c>
      <c r="N5" s="112">
        <v>12</v>
      </c>
      <c r="O5" s="112">
        <v>13</v>
      </c>
      <c r="P5" s="551" t="s">
        <v>317</v>
      </c>
      <c r="Q5" s="602">
        <v>15</v>
      </c>
      <c r="R5" s="112" t="s">
        <v>575</v>
      </c>
      <c r="S5" s="602">
        <v>17</v>
      </c>
      <c r="T5" s="603">
        <v>18</v>
      </c>
      <c r="U5" s="280">
        <v>19</v>
      </c>
      <c r="V5" s="281" t="s">
        <v>576</v>
      </c>
      <c r="W5" s="112" t="s">
        <v>577</v>
      </c>
      <c r="X5" s="112">
        <v>22</v>
      </c>
      <c r="Y5" s="551" t="s">
        <v>578</v>
      </c>
      <c r="Z5" s="112">
        <v>24</v>
      </c>
      <c r="AA5" s="112">
        <v>25</v>
      </c>
      <c r="AB5" s="551">
        <v>26</v>
      </c>
      <c r="AC5" s="112">
        <v>27</v>
      </c>
      <c r="AD5" s="112">
        <v>28</v>
      </c>
      <c r="AE5" s="551">
        <v>29</v>
      </c>
      <c r="AF5" s="112">
        <v>30</v>
      </c>
      <c r="AG5" s="112">
        <v>31</v>
      </c>
      <c r="AH5" s="551" t="s">
        <v>579</v>
      </c>
      <c r="AI5" s="112" t="s">
        <v>580</v>
      </c>
      <c r="AJ5" s="112" t="s">
        <v>581</v>
      </c>
      <c r="AK5" s="551" t="s">
        <v>582</v>
      </c>
      <c r="AL5" s="112">
        <v>36</v>
      </c>
      <c r="AM5" s="112">
        <v>37</v>
      </c>
      <c r="AN5" s="551">
        <v>38</v>
      </c>
      <c r="AO5" s="112">
        <v>39</v>
      </c>
      <c r="AP5" s="112" t="s">
        <v>583</v>
      </c>
      <c r="AQ5" s="315" t="s">
        <v>584</v>
      </c>
      <c r="AR5" s="676"/>
    </row>
    <row r="6" spans="1:44" ht="22.5" customHeight="1" x14ac:dyDescent="0.15">
      <c r="A6">
        <v>1</v>
      </c>
      <c r="B6" s="323" t="s">
        <v>37</v>
      </c>
      <c r="C6" s="324" t="s">
        <v>190</v>
      </c>
      <c r="D6" s="325" t="s">
        <v>35</v>
      </c>
      <c r="E6" s="326" t="s">
        <v>36</v>
      </c>
      <c r="F6" s="240">
        <v>112221243</v>
      </c>
      <c r="G6" s="240">
        <v>68074073</v>
      </c>
      <c r="H6" s="240"/>
      <c r="I6" s="240">
        <v>1403755463</v>
      </c>
      <c r="J6" s="285">
        <v>16.100000000000001</v>
      </c>
      <c r="K6" s="284">
        <v>1584050779</v>
      </c>
      <c r="L6" s="240"/>
      <c r="M6" s="240"/>
      <c r="N6" s="240"/>
      <c r="O6" s="240"/>
      <c r="P6" s="240"/>
      <c r="Q6" s="240"/>
      <c r="R6" s="240"/>
      <c r="S6" s="240"/>
      <c r="T6" s="283"/>
      <c r="U6" s="288"/>
      <c r="V6" s="284"/>
      <c r="W6" s="240">
        <v>1584050779</v>
      </c>
      <c r="X6" s="240"/>
      <c r="Y6" s="290"/>
      <c r="Z6" s="291" t="s">
        <v>228</v>
      </c>
      <c r="AA6" s="240">
        <v>814</v>
      </c>
      <c r="AB6" s="4"/>
      <c r="AC6" s="240"/>
      <c r="AD6" s="4"/>
      <c r="AE6" s="240"/>
      <c r="AF6" s="4"/>
      <c r="AG6" s="240"/>
      <c r="AH6" s="240">
        <v>1946008</v>
      </c>
      <c r="AI6" s="240" t="s">
        <v>440</v>
      </c>
      <c r="AJ6" s="240" t="s">
        <v>440</v>
      </c>
      <c r="AK6" s="240" t="s">
        <v>440</v>
      </c>
      <c r="AL6" s="240">
        <v>12</v>
      </c>
      <c r="AM6" s="240">
        <v>4328007</v>
      </c>
      <c r="AN6" s="240">
        <v>98144410</v>
      </c>
      <c r="AO6" s="241"/>
      <c r="AP6" s="302"/>
      <c r="AQ6" s="302">
        <v>7.08</v>
      </c>
      <c r="AR6" s="554" t="s">
        <v>148</v>
      </c>
    </row>
    <row r="7" spans="1:44" ht="22.5" customHeight="1" x14ac:dyDescent="0.15">
      <c r="A7">
        <v>2</v>
      </c>
      <c r="B7" s="323" t="s">
        <v>37</v>
      </c>
      <c r="C7" s="324" t="s">
        <v>191</v>
      </c>
      <c r="D7" s="325" t="s">
        <v>35</v>
      </c>
      <c r="E7" s="326" t="s">
        <v>36</v>
      </c>
      <c r="F7" s="240">
        <v>68139292</v>
      </c>
      <c r="G7" s="240">
        <v>46606292</v>
      </c>
      <c r="H7" s="240"/>
      <c r="I7" s="283">
        <v>837598765</v>
      </c>
      <c r="J7" s="285">
        <v>9.8000000000000007</v>
      </c>
      <c r="K7" s="284">
        <v>952344349</v>
      </c>
      <c r="L7" s="240"/>
      <c r="M7" s="240"/>
      <c r="N7" s="240"/>
      <c r="O7" s="240"/>
      <c r="P7" s="240"/>
      <c r="Q7" s="240"/>
      <c r="R7" s="240"/>
      <c r="S7" s="240"/>
      <c r="T7" s="283"/>
      <c r="U7" s="288"/>
      <c r="V7" s="284"/>
      <c r="W7" s="240">
        <v>952344349</v>
      </c>
      <c r="X7" s="240">
        <v>697806800</v>
      </c>
      <c r="Y7" s="290">
        <v>73.27</v>
      </c>
      <c r="Z7" s="5" t="s">
        <v>229</v>
      </c>
      <c r="AA7" s="240">
        <v>498171</v>
      </c>
      <c r="AB7" s="4"/>
      <c r="AC7" s="240"/>
      <c r="AD7" s="4"/>
      <c r="AE7" s="240"/>
      <c r="AF7" s="4"/>
      <c r="AG7" s="240"/>
      <c r="AH7" s="240">
        <v>1911</v>
      </c>
      <c r="AI7" s="240" t="s">
        <v>440</v>
      </c>
      <c r="AJ7" s="240" t="s">
        <v>440</v>
      </c>
      <c r="AK7" s="240" t="s">
        <v>440</v>
      </c>
      <c r="AL7" s="240">
        <v>7</v>
      </c>
      <c r="AM7" s="240">
        <v>2602033</v>
      </c>
      <c r="AN7" s="240">
        <v>97177994</v>
      </c>
      <c r="AO7" s="240"/>
      <c r="AP7" s="302"/>
      <c r="AQ7" s="302">
        <v>7.15</v>
      </c>
      <c r="AR7" s="554" t="s">
        <v>148</v>
      </c>
    </row>
    <row r="8" spans="1:44" ht="22.5" customHeight="1" x14ac:dyDescent="0.15">
      <c r="A8">
        <v>3</v>
      </c>
      <c r="B8" s="323" t="s">
        <v>37</v>
      </c>
      <c r="C8" s="324" t="s">
        <v>189</v>
      </c>
      <c r="D8" s="325" t="s">
        <v>35</v>
      </c>
      <c r="E8" s="326" t="s">
        <v>36</v>
      </c>
      <c r="F8" s="240">
        <v>23640162</v>
      </c>
      <c r="G8" s="240">
        <v>49978547</v>
      </c>
      <c r="H8" s="240"/>
      <c r="I8" s="283">
        <v>237657984</v>
      </c>
      <c r="J8" s="285">
        <v>3.4</v>
      </c>
      <c r="K8" s="284">
        <v>311276694</v>
      </c>
      <c r="L8" s="240"/>
      <c r="M8" s="240"/>
      <c r="N8" s="240"/>
      <c r="O8" s="240"/>
      <c r="P8" s="240"/>
      <c r="Q8" s="240"/>
      <c r="R8" s="240"/>
      <c r="S8" s="240"/>
      <c r="T8" s="283"/>
      <c r="U8" s="288"/>
      <c r="V8" s="284"/>
      <c r="W8" s="240">
        <v>311276694</v>
      </c>
      <c r="X8" s="240">
        <v>153324900</v>
      </c>
      <c r="Y8" s="290">
        <v>49.26</v>
      </c>
      <c r="Z8" s="494" t="s">
        <v>229</v>
      </c>
      <c r="AA8" s="240">
        <v>87323</v>
      </c>
      <c r="AB8" s="4"/>
      <c r="AC8" s="240"/>
      <c r="AD8" s="4"/>
      <c r="AE8" s="240"/>
      <c r="AF8" s="4"/>
      <c r="AG8" s="240"/>
      <c r="AH8" s="240">
        <v>3564</v>
      </c>
      <c r="AI8" s="240" t="s">
        <v>440</v>
      </c>
      <c r="AJ8" s="240" t="s">
        <v>440</v>
      </c>
      <c r="AK8" s="240" t="s">
        <v>440</v>
      </c>
      <c r="AL8" s="240">
        <v>2</v>
      </c>
      <c r="AM8" s="240">
        <v>850482</v>
      </c>
      <c r="AN8" s="240">
        <v>91551968</v>
      </c>
      <c r="AO8" s="241"/>
      <c r="AP8" s="302"/>
      <c r="AQ8" s="302">
        <v>7.59</v>
      </c>
      <c r="AR8" s="554" t="s">
        <v>148</v>
      </c>
    </row>
    <row r="9" spans="1:44" ht="22.5" customHeight="1" x14ac:dyDescent="0.15">
      <c r="A9">
        <v>4</v>
      </c>
      <c r="B9" s="323" t="s">
        <v>37</v>
      </c>
      <c r="C9" s="324" t="s">
        <v>223</v>
      </c>
      <c r="D9" s="325" t="s">
        <v>35</v>
      </c>
      <c r="E9" s="326" t="s">
        <v>36</v>
      </c>
      <c r="F9" s="240">
        <v>56319211</v>
      </c>
      <c r="G9" s="240">
        <v>10468816</v>
      </c>
      <c r="H9" s="240"/>
      <c r="I9" s="283">
        <v>39008583650</v>
      </c>
      <c r="J9" s="285">
        <v>8.1</v>
      </c>
      <c r="K9" s="284">
        <v>39075371677</v>
      </c>
      <c r="L9" s="240"/>
      <c r="M9" s="240"/>
      <c r="N9" s="240"/>
      <c r="O9" s="240"/>
      <c r="P9" s="240"/>
      <c r="Q9" s="240"/>
      <c r="R9" s="240"/>
      <c r="S9" s="240"/>
      <c r="T9" s="283"/>
      <c r="U9" s="288"/>
      <c r="V9" s="284"/>
      <c r="W9" s="240">
        <v>39075371677</v>
      </c>
      <c r="X9" s="240"/>
      <c r="Y9" s="290"/>
      <c r="Z9" s="5" t="s">
        <v>230</v>
      </c>
      <c r="AA9" s="240">
        <v>4</v>
      </c>
      <c r="AB9" s="4"/>
      <c r="AC9" s="240"/>
      <c r="AD9" s="4"/>
      <c r="AE9" s="240"/>
      <c r="AF9" s="4"/>
      <c r="AG9" s="240"/>
      <c r="AH9" s="240">
        <v>9768842919</v>
      </c>
      <c r="AI9" s="240" t="s">
        <v>440</v>
      </c>
      <c r="AJ9" s="240" t="s">
        <v>440</v>
      </c>
      <c r="AK9" s="240" t="s">
        <v>440</v>
      </c>
      <c r="AL9" s="240">
        <v>309</v>
      </c>
      <c r="AM9" s="240">
        <v>106763310</v>
      </c>
      <c r="AN9" s="240">
        <v>4824119960</v>
      </c>
      <c r="AO9" s="241"/>
      <c r="AP9" s="302"/>
      <c r="AQ9" s="302">
        <v>0.14000000000000001</v>
      </c>
      <c r="AR9" s="554" t="s">
        <v>148</v>
      </c>
    </row>
    <row r="10" spans="1:44" ht="22.5" customHeight="1" x14ac:dyDescent="0.15">
      <c r="A10">
        <v>5</v>
      </c>
      <c r="B10" s="328" t="s">
        <v>37</v>
      </c>
      <c r="C10" s="327" t="s">
        <v>377</v>
      </c>
      <c r="D10" s="328" t="s">
        <v>338</v>
      </c>
      <c r="E10" s="328" t="s">
        <v>339</v>
      </c>
      <c r="F10" s="240">
        <v>71615787</v>
      </c>
      <c r="G10" s="240">
        <v>183758028</v>
      </c>
      <c r="H10" s="240"/>
      <c r="I10" s="283">
        <v>175645284</v>
      </c>
      <c r="J10" s="285">
        <v>10.3</v>
      </c>
      <c r="K10" s="284">
        <v>431019099</v>
      </c>
      <c r="L10" s="240"/>
      <c r="M10" s="240"/>
      <c r="N10" s="240"/>
      <c r="O10" s="240"/>
      <c r="P10" s="240"/>
      <c r="Q10" s="240"/>
      <c r="R10" s="240"/>
      <c r="S10" s="240"/>
      <c r="T10" s="283"/>
      <c r="U10" s="288"/>
      <c r="V10" s="284"/>
      <c r="W10" s="240">
        <v>431019099</v>
      </c>
      <c r="X10" s="240">
        <v>381888000</v>
      </c>
      <c r="Y10" s="290">
        <v>88.6</v>
      </c>
      <c r="Z10" s="5" t="s">
        <v>359</v>
      </c>
      <c r="AA10" s="240">
        <v>19584</v>
      </c>
      <c r="AB10" s="4"/>
      <c r="AC10" s="240"/>
      <c r="AD10" s="4"/>
      <c r="AE10" s="240"/>
      <c r="AF10" s="4"/>
      <c r="AG10" s="240"/>
      <c r="AH10" s="240">
        <v>22008</v>
      </c>
      <c r="AI10" s="240" t="s">
        <v>440</v>
      </c>
      <c r="AJ10" s="240" t="s">
        <v>440</v>
      </c>
      <c r="AK10" s="240" t="s">
        <v>440</v>
      </c>
      <c r="AL10" s="240">
        <v>3</v>
      </c>
      <c r="AM10" s="240">
        <v>1177647</v>
      </c>
      <c r="AN10" s="240">
        <v>41846514</v>
      </c>
      <c r="AO10" s="241"/>
      <c r="AP10" s="302"/>
      <c r="AQ10" s="302">
        <v>16.62</v>
      </c>
      <c r="AR10" s="554" t="s">
        <v>148</v>
      </c>
    </row>
    <row r="11" spans="1:44" ht="22.5" customHeight="1" x14ac:dyDescent="0.15">
      <c r="A11">
        <v>6</v>
      </c>
      <c r="B11" s="328" t="s">
        <v>37</v>
      </c>
      <c r="C11" s="327" t="s">
        <v>461</v>
      </c>
      <c r="D11" s="328" t="s">
        <v>338</v>
      </c>
      <c r="E11" s="328" t="s">
        <v>36</v>
      </c>
      <c r="F11" s="240">
        <v>106380732</v>
      </c>
      <c r="G11" s="240"/>
      <c r="H11" s="240"/>
      <c r="I11" s="283">
        <v>9039771806</v>
      </c>
      <c r="J11" s="285">
        <v>15.3</v>
      </c>
      <c r="K11" s="284">
        <v>9146152538</v>
      </c>
      <c r="L11" s="240"/>
      <c r="M11" s="240"/>
      <c r="N11" s="240"/>
      <c r="O11" s="240"/>
      <c r="P11" s="240"/>
      <c r="Q11" s="240"/>
      <c r="R11" s="240"/>
      <c r="S11" s="240"/>
      <c r="T11" s="283"/>
      <c r="U11" s="288"/>
      <c r="V11" s="284"/>
      <c r="W11" s="240">
        <v>9146152538</v>
      </c>
      <c r="X11" s="240"/>
      <c r="Y11" s="290"/>
      <c r="Z11" s="294" t="s">
        <v>384</v>
      </c>
      <c r="AA11" s="240">
        <v>4665865</v>
      </c>
      <c r="AB11" s="4"/>
      <c r="AC11" s="240"/>
      <c r="AD11" s="4"/>
      <c r="AE11" s="240"/>
      <c r="AF11" s="4"/>
      <c r="AG11" s="240"/>
      <c r="AH11" s="240">
        <v>1960</v>
      </c>
      <c r="AI11" s="240" t="s">
        <v>440</v>
      </c>
      <c r="AJ11" s="240" t="s">
        <v>440</v>
      </c>
      <c r="AK11" s="240" t="s">
        <v>440</v>
      </c>
      <c r="AL11" s="240">
        <v>72</v>
      </c>
      <c r="AM11" s="240">
        <v>24989487</v>
      </c>
      <c r="AN11" s="240">
        <v>597787747</v>
      </c>
      <c r="AO11" s="240"/>
      <c r="AP11" s="302"/>
      <c r="AQ11" s="302">
        <v>1.1599999999999999</v>
      </c>
      <c r="AR11" s="554" t="s">
        <v>148</v>
      </c>
    </row>
    <row r="12" spans="1:44" ht="22.5" customHeight="1" x14ac:dyDescent="0.15">
      <c r="A12">
        <v>7</v>
      </c>
      <c r="B12" s="323" t="s">
        <v>37</v>
      </c>
      <c r="C12" s="324" t="s">
        <v>187</v>
      </c>
      <c r="D12" s="325" t="s">
        <v>35</v>
      </c>
      <c r="E12" s="326" t="s">
        <v>38</v>
      </c>
      <c r="F12" s="240">
        <v>32679048</v>
      </c>
      <c r="G12" s="240">
        <v>41248743</v>
      </c>
      <c r="H12" s="240"/>
      <c r="I12" s="283"/>
      <c r="J12" s="285">
        <v>4.7</v>
      </c>
      <c r="K12" s="284">
        <v>73927791</v>
      </c>
      <c r="L12" s="240">
        <v>707167920</v>
      </c>
      <c r="M12" s="240">
        <v>1103130274</v>
      </c>
      <c r="N12" s="240">
        <v>230036922</v>
      </c>
      <c r="O12" s="240">
        <v>122071469</v>
      </c>
      <c r="P12" s="240">
        <v>937204842</v>
      </c>
      <c r="Q12" s="240"/>
      <c r="R12" s="240">
        <v>1225201743</v>
      </c>
      <c r="S12" s="240">
        <v>137137512</v>
      </c>
      <c r="T12" s="283"/>
      <c r="U12" s="288">
        <v>187</v>
      </c>
      <c r="V12" s="284">
        <v>2299544097</v>
      </c>
      <c r="W12" s="240">
        <v>2373471888</v>
      </c>
      <c r="X12" s="240">
        <v>31208984</v>
      </c>
      <c r="Y12" s="290">
        <v>1.31</v>
      </c>
      <c r="Z12" s="293" t="s">
        <v>231</v>
      </c>
      <c r="AA12" s="240">
        <v>276563</v>
      </c>
      <c r="AB12" s="4"/>
      <c r="AC12" s="240"/>
      <c r="AD12" s="4"/>
      <c r="AE12" s="240"/>
      <c r="AF12" s="4"/>
      <c r="AG12" s="240"/>
      <c r="AH12" s="240">
        <v>8582</v>
      </c>
      <c r="AI12" s="240" t="s">
        <v>440</v>
      </c>
      <c r="AJ12" s="240" t="s">
        <v>440</v>
      </c>
      <c r="AK12" s="240" t="s">
        <v>440</v>
      </c>
      <c r="AL12" s="240">
        <v>18</v>
      </c>
      <c r="AM12" s="240">
        <v>6484895</v>
      </c>
      <c r="AN12" s="240">
        <v>12381178</v>
      </c>
      <c r="AO12" s="241"/>
      <c r="AP12" s="302"/>
      <c r="AQ12" s="302">
        <v>40.86</v>
      </c>
      <c r="AR12" s="554" t="s">
        <v>149</v>
      </c>
    </row>
    <row r="13" spans="1:44" ht="22.5" customHeight="1" x14ac:dyDescent="0.15">
      <c r="A13">
        <v>8</v>
      </c>
      <c r="B13" s="323" t="s">
        <v>37</v>
      </c>
      <c r="C13" s="324" t="s">
        <v>188</v>
      </c>
      <c r="D13" s="325" t="s">
        <v>35</v>
      </c>
      <c r="E13" s="326" t="s">
        <v>38</v>
      </c>
      <c r="F13" s="240">
        <v>2781195</v>
      </c>
      <c r="G13" s="240">
        <v>1424318</v>
      </c>
      <c r="H13" s="240"/>
      <c r="I13" s="283"/>
      <c r="J13" s="285">
        <v>0.4</v>
      </c>
      <c r="K13" s="284">
        <v>4205513</v>
      </c>
      <c r="L13" s="240">
        <v>367482319</v>
      </c>
      <c r="M13" s="240">
        <v>35086124</v>
      </c>
      <c r="N13" s="240">
        <v>52198172</v>
      </c>
      <c r="O13" s="240">
        <v>44754992</v>
      </c>
      <c r="P13" s="240">
        <v>419680491</v>
      </c>
      <c r="Q13" s="240"/>
      <c r="R13" s="240">
        <v>79841116</v>
      </c>
      <c r="S13" s="240">
        <v>7201</v>
      </c>
      <c r="T13" s="283"/>
      <c r="U13" s="288">
        <v>23</v>
      </c>
      <c r="V13" s="284">
        <v>499528809</v>
      </c>
      <c r="W13" s="240">
        <v>503734322</v>
      </c>
      <c r="X13" s="240"/>
      <c r="Y13" s="290"/>
      <c r="Z13" s="5" t="s">
        <v>232</v>
      </c>
      <c r="AA13" s="240">
        <v>25781</v>
      </c>
      <c r="AB13" s="4"/>
      <c r="AC13" s="240"/>
      <c r="AD13" s="4"/>
      <c r="AE13" s="240"/>
      <c r="AF13" s="4"/>
      <c r="AG13" s="240"/>
      <c r="AH13" s="240">
        <v>19538</v>
      </c>
      <c r="AI13" s="240" t="s">
        <v>440</v>
      </c>
      <c r="AJ13" s="240" t="s">
        <v>440</v>
      </c>
      <c r="AK13" s="240" t="s">
        <v>440</v>
      </c>
      <c r="AL13" s="240">
        <v>3</v>
      </c>
      <c r="AM13" s="240">
        <v>1376323</v>
      </c>
      <c r="AN13" s="240">
        <v>21527107</v>
      </c>
      <c r="AO13" s="241"/>
      <c r="AP13" s="302"/>
      <c r="AQ13" s="302">
        <v>83.87</v>
      </c>
      <c r="AR13" s="554" t="s">
        <v>149</v>
      </c>
    </row>
    <row r="14" spans="1:44" ht="22.5" customHeight="1" x14ac:dyDescent="0.15">
      <c r="A14">
        <v>9</v>
      </c>
      <c r="B14" s="323" t="s">
        <v>37</v>
      </c>
      <c r="C14" s="324" t="s">
        <v>96</v>
      </c>
      <c r="D14" s="325" t="s">
        <v>87</v>
      </c>
      <c r="E14" s="326" t="s">
        <v>36</v>
      </c>
      <c r="F14" s="240">
        <v>34764945</v>
      </c>
      <c r="G14" s="240">
        <v>-2931614</v>
      </c>
      <c r="H14" s="240">
        <v>7225645</v>
      </c>
      <c r="I14" s="283">
        <v>98591812</v>
      </c>
      <c r="J14" s="285">
        <v>5</v>
      </c>
      <c r="K14" s="284">
        <v>137650788</v>
      </c>
      <c r="L14" s="240"/>
      <c r="M14" s="240"/>
      <c r="N14" s="240"/>
      <c r="O14" s="240"/>
      <c r="P14" s="240"/>
      <c r="Q14" s="240"/>
      <c r="R14" s="240"/>
      <c r="S14" s="240"/>
      <c r="T14" s="283"/>
      <c r="U14" s="288"/>
      <c r="V14" s="284"/>
      <c r="W14" s="240">
        <v>137650788</v>
      </c>
      <c r="X14" s="240"/>
      <c r="Y14" s="290"/>
      <c r="Z14" s="501" t="s">
        <v>233</v>
      </c>
      <c r="AA14" s="240">
        <v>395</v>
      </c>
      <c r="AB14" s="4"/>
      <c r="AC14" s="240"/>
      <c r="AD14" s="4"/>
      <c r="AE14" s="240"/>
      <c r="AF14" s="4"/>
      <c r="AG14" s="240"/>
      <c r="AH14" s="240">
        <v>348483</v>
      </c>
      <c r="AI14" s="240" t="s">
        <v>440</v>
      </c>
      <c r="AJ14" s="240" t="s">
        <v>440</v>
      </c>
      <c r="AK14" s="240" t="s">
        <v>440</v>
      </c>
      <c r="AL14" s="240">
        <v>1</v>
      </c>
      <c r="AM14" s="240">
        <v>376095</v>
      </c>
      <c r="AN14" s="240">
        <v>27530157</v>
      </c>
      <c r="AO14" s="240">
        <v>991428398</v>
      </c>
      <c r="AP14" s="302">
        <v>13.88</v>
      </c>
      <c r="AQ14" s="302">
        <v>25.26</v>
      </c>
      <c r="AR14" s="554" t="s">
        <v>150</v>
      </c>
    </row>
    <row r="15" spans="1:44" ht="22.5" customHeight="1" x14ac:dyDescent="0.15">
      <c r="A15">
        <v>10</v>
      </c>
      <c r="B15" s="323" t="s">
        <v>86</v>
      </c>
      <c r="C15" s="324" t="s">
        <v>381</v>
      </c>
      <c r="D15" s="325" t="s">
        <v>35</v>
      </c>
      <c r="E15" s="326" t="s">
        <v>36</v>
      </c>
      <c r="F15" s="240">
        <v>27811956</v>
      </c>
      <c r="G15" s="240">
        <v>68592316</v>
      </c>
      <c r="H15" s="240"/>
      <c r="I15" s="283">
        <v>1007761000</v>
      </c>
      <c r="J15" s="285">
        <v>4</v>
      </c>
      <c r="K15" s="284">
        <v>1104165272</v>
      </c>
      <c r="L15" s="240"/>
      <c r="M15" s="240"/>
      <c r="N15" s="240"/>
      <c r="O15" s="240"/>
      <c r="P15" s="240"/>
      <c r="Q15" s="240"/>
      <c r="R15" s="240"/>
      <c r="S15" s="240"/>
      <c r="T15" s="283"/>
      <c r="U15" s="295"/>
      <c r="V15" s="284"/>
      <c r="W15" s="240">
        <v>1104165272</v>
      </c>
      <c r="X15" s="240"/>
      <c r="Y15" s="290"/>
      <c r="Z15" s="494" t="s">
        <v>382</v>
      </c>
      <c r="AA15" s="240">
        <v>366</v>
      </c>
      <c r="AB15" s="4"/>
      <c r="AC15" s="240"/>
      <c r="AD15" s="4"/>
      <c r="AE15" s="240"/>
      <c r="AF15" s="4"/>
      <c r="AG15" s="240"/>
      <c r="AH15" s="240">
        <v>3016845</v>
      </c>
      <c r="AI15" s="240" t="s">
        <v>440</v>
      </c>
      <c r="AJ15" s="240" t="s">
        <v>440</v>
      </c>
      <c r="AK15" s="240" t="s">
        <v>440</v>
      </c>
      <c r="AL15" s="240">
        <v>8</v>
      </c>
      <c r="AM15" s="240">
        <v>3016845</v>
      </c>
      <c r="AN15" s="240">
        <v>276041318</v>
      </c>
      <c r="AO15" s="241"/>
      <c r="AP15" s="302"/>
      <c r="AQ15" s="302">
        <v>2.52</v>
      </c>
      <c r="AR15" s="554" t="s">
        <v>148</v>
      </c>
    </row>
    <row r="16" spans="1:44" ht="22.5" customHeight="1" x14ac:dyDescent="0.15">
      <c r="A16">
        <v>11</v>
      </c>
      <c r="B16" s="323" t="s">
        <v>88</v>
      </c>
      <c r="C16" s="324" t="s">
        <v>89</v>
      </c>
      <c r="D16" s="325" t="s">
        <v>35</v>
      </c>
      <c r="E16" s="326" t="s">
        <v>36</v>
      </c>
      <c r="F16" s="240">
        <v>18077771</v>
      </c>
      <c r="G16" s="240">
        <v>15321458</v>
      </c>
      <c r="H16" s="240">
        <v>1893172</v>
      </c>
      <c r="I16" s="283">
        <v>91676827</v>
      </c>
      <c r="J16" s="285">
        <v>2.6</v>
      </c>
      <c r="K16" s="284">
        <v>126969229</v>
      </c>
      <c r="L16" s="240"/>
      <c r="M16" s="240"/>
      <c r="N16" s="240"/>
      <c r="O16" s="240"/>
      <c r="P16" s="240"/>
      <c r="Q16" s="240"/>
      <c r="R16" s="240"/>
      <c r="S16" s="240"/>
      <c r="T16" s="283"/>
      <c r="U16" s="295"/>
      <c r="V16" s="284"/>
      <c r="W16" s="240">
        <v>126969229</v>
      </c>
      <c r="X16" s="240"/>
      <c r="Y16" s="290"/>
      <c r="Z16" s="293" t="s">
        <v>594</v>
      </c>
      <c r="AA16" s="240">
        <v>9811</v>
      </c>
      <c r="AB16" s="4" t="s">
        <v>603</v>
      </c>
      <c r="AC16" s="240">
        <v>10841</v>
      </c>
      <c r="AD16" s="4"/>
      <c r="AE16" s="240"/>
      <c r="AF16" s="4"/>
      <c r="AG16" s="240"/>
      <c r="AH16" s="240">
        <v>12941</v>
      </c>
      <c r="AI16" s="240">
        <v>11711</v>
      </c>
      <c r="AJ16" s="240" t="s">
        <v>440</v>
      </c>
      <c r="AK16" s="240" t="s">
        <v>440</v>
      </c>
      <c r="AL16" s="240">
        <v>1</v>
      </c>
      <c r="AM16" s="240">
        <v>346910</v>
      </c>
      <c r="AN16" s="240">
        <v>48834319</v>
      </c>
      <c r="AO16" s="241"/>
      <c r="AP16" s="302"/>
      <c r="AQ16" s="302">
        <v>14.24</v>
      </c>
      <c r="AR16" s="554" t="s">
        <v>148</v>
      </c>
    </row>
    <row r="17" spans="1:44" s="6" customFormat="1" ht="22.5" customHeight="1" x14ac:dyDescent="0.15">
      <c r="A17" s="6">
        <v>12</v>
      </c>
      <c r="B17" s="323" t="s">
        <v>39</v>
      </c>
      <c r="C17" s="324" t="s">
        <v>538</v>
      </c>
      <c r="D17" s="591" t="s">
        <v>35</v>
      </c>
      <c r="E17" s="330" t="s">
        <v>36</v>
      </c>
      <c r="F17" s="240">
        <v>34764944</v>
      </c>
      <c r="G17" s="240">
        <v>20244089</v>
      </c>
      <c r="H17" s="240">
        <v>2423075</v>
      </c>
      <c r="I17" s="283">
        <v>4230342000</v>
      </c>
      <c r="J17" s="285">
        <v>5</v>
      </c>
      <c r="K17" s="284">
        <v>4287774109</v>
      </c>
      <c r="L17" s="240"/>
      <c r="M17" s="240"/>
      <c r="N17" s="240"/>
      <c r="O17" s="240"/>
      <c r="P17" s="240"/>
      <c r="Q17" s="240"/>
      <c r="R17" s="240"/>
      <c r="S17" s="240"/>
      <c r="T17" s="283"/>
      <c r="U17" s="288"/>
      <c r="V17" s="284"/>
      <c r="W17" s="240">
        <v>4287774111.2998972</v>
      </c>
      <c r="X17" s="240">
        <v>4230342000</v>
      </c>
      <c r="Y17" s="290">
        <v>98.66</v>
      </c>
      <c r="Z17" s="294" t="s">
        <v>595</v>
      </c>
      <c r="AA17" s="240">
        <v>250</v>
      </c>
      <c r="AB17" s="307" t="s">
        <v>599</v>
      </c>
      <c r="AC17" s="240">
        <v>35</v>
      </c>
      <c r="AD17" s="299" t="s">
        <v>601</v>
      </c>
      <c r="AE17" s="240">
        <v>7</v>
      </c>
      <c r="AF17" s="4"/>
      <c r="AG17" s="240"/>
      <c r="AH17" s="240">
        <v>14301128</v>
      </c>
      <c r="AI17" s="240">
        <v>11481624</v>
      </c>
      <c r="AJ17" s="240">
        <v>38941812</v>
      </c>
      <c r="AK17" s="240" t="s">
        <v>440</v>
      </c>
      <c r="AL17" s="240">
        <v>33</v>
      </c>
      <c r="AM17" s="240">
        <v>11715229</v>
      </c>
      <c r="AN17" s="240">
        <v>1020898597</v>
      </c>
      <c r="AO17" s="241"/>
      <c r="AP17" s="302"/>
      <c r="AQ17" s="302">
        <v>0.68</v>
      </c>
      <c r="AR17" s="593" t="s">
        <v>148</v>
      </c>
    </row>
    <row r="18" spans="1:44" s="6" customFormat="1" ht="22.5" customHeight="1" x14ac:dyDescent="0.15">
      <c r="A18" s="6">
        <v>13</v>
      </c>
      <c r="B18" s="323" t="s">
        <v>88</v>
      </c>
      <c r="C18" s="324" t="s">
        <v>504</v>
      </c>
      <c r="D18" s="591" t="s">
        <v>35</v>
      </c>
      <c r="E18" s="330" t="s">
        <v>36</v>
      </c>
      <c r="F18" s="240">
        <v>15296575</v>
      </c>
      <c r="G18" s="240">
        <v>8907399</v>
      </c>
      <c r="H18" s="240">
        <v>1066153</v>
      </c>
      <c r="I18" s="283">
        <v>3550012000</v>
      </c>
      <c r="J18" s="285">
        <v>2.2000000000000002</v>
      </c>
      <c r="K18" s="284">
        <v>3575282128</v>
      </c>
      <c r="L18" s="240"/>
      <c r="M18" s="240"/>
      <c r="N18" s="240"/>
      <c r="O18" s="240"/>
      <c r="P18" s="240"/>
      <c r="Q18" s="240"/>
      <c r="R18" s="240"/>
      <c r="S18" s="240"/>
      <c r="T18" s="283"/>
      <c r="U18" s="288"/>
      <c r="V18" s="284"/>
      <c r="W18" s="240">
        <v>3575282128</v>
      </c>
      <c r="X18" s="240">
        <v>3550012000</v>
      </c>
      <c r="Y18" s="290">
        <v>99.29</v>
      </c>
      <c r="Z18" s="294" t="s">
        <v>595</v>
      </c>
      <c r="AA18" s="240">
        <v>250</v>
      </c>
      <c r="AB18" s="4"/>
      <c r="AC18" s="240"/>
      <c r="AD18" s="4"/>
      <c r="AE18" s="240"/>
      <c r="AF18" s="4"/>
      <c r="AG18" s="240"/>
      <c r="AH18" s="240">
        <v>14301128</v>
      </c>
      <c r="AI18" s="240"/>
      <c r="AJ18" s="240"/>
      <c r="AK18" s="240"/>
      <c r="AL18" s="240"/>
      <c r="AM18" s="240"/>
      <c r="AN18" s="240"/>
      <c r="AO18" s="241"/>
      <c r="AP18" s="302"/>
      <c r="AQ18" s="302"/>
      <c r="AR18" s="593"/>
    </row>
    <row r="19" spans="1:44" s="6" customFormat="1" ht="22.5" customHeight="1" x14ac:dyDescent="0.15">
      <c r="A19" s="6">
        <v>14</v>
      </c>
      <c r="B19" s="323" t="s">
        <v>88</v>
      </c>
      <c r="C19" s="324" t="s">
        <v>505</v>
      </c>
      <c r="D19" s="591" t="s">
        <v>35</v>
      </c>
      <c r="E19" s="330" t="s">
        <v>36</v>
      </c>
      <c r="F19" s="240">
        <v>13905978</v>
      </c>
      <c r="G19" s="240">
        <v>8097636</v>
      </c>
      <c r="H19" s="240">
        <v>969230</v>
      </c>
      <c r="I19" s="283">
        <v>385773000</v>
      </c>
      <c r="J19" s="285">
        <v>2</v>
      </c>
      <c r="K19" s="284">
        <v>408745844</v>
      </c>
      <c r="L19" s="240"/>
      <c r="M19" s="240"/>
      <c r="N19" s="240"/>
      <c r="O19" s="240"/>
      <c r="P19" s="240"/>
      <c r="Q19" s="240"/>
      <c r="R19" s="240"/>
      <c r="S19" s="240"/>
      <c r="T19" s="283"/>
      <c r="U19" s="288"/>
      <c r="V19" s="284"/>
      <c r="W19" s="240">
        <v>408745844</v>
      </c>
      <c r="X19" s="240">
        <v>385773000</v>
      </c>
      <c r="Y19" s="290">
        <v>94.38</v>
      </c>
      <c r="Z19" s="307" t="s">
        <v>600</v>
      </c>
      <c r="AA19" s="240">
        <v>35</v>
      </c>
      <c r="AB19" s="4"/>
      <c r="AC19" s="240"/>
      <c r="AD19" s="4"/>
      <c r="AE19" s="240"/>
      <c r="AF19" s="4"/>
      <c r="AG19" s="240"/>
      <c r="AH19" s="240">
        <v>11481624</v>
      </c>
      <c r="AI19" s="240"/>
      <c r="AJ19" s="240"/>
      <c r="AK19" s="240" t="s">
        <v>440</v>
      </c>
      <c r="AL19" s="240"/>
      <c r="AM19" s="240"/>
      <c r="AN19" s="240"/>
      <c r="AO19" s="240"/>
      <c r="AP19" s="302"/>
      <c r="AQ19" s="302"/>
      <c r="AR19" s="593"/>
    </row>
    <row r="20" spans="1:44" s="6" customFormat="1" ht="22.5" customHeight="1" x14ac:dyDescent="0.15">
      <c r="A20" s="6">
        <v>15</v>
      </c>
      <c r="B20" s="323" t="s">
        <v>534</v>
      </c>
      <c r="C20" s="324" t="s">
        <v>531</v>
      </c>
      <c r="D20" s="591" t="s">
        <v>532</v>
      </c>
      <c r="E20" s="330" t="s">
        <v>535</v>
      </c>
      <c r="F20" s="240">
        <v>5562391</v>
      </c>
      <c r="G20" s="240">
        <v>3239054</v>
      </c>
      <c r="H20" s="240">
        <v>387692</v>
      </c>
      <c r="I20" s="283">
        <v>294557000</v>
      </c>
      <c r="J20" s="285">
        <v>0.8</v>
      </c>
      <c r="K20" s="284">
        <v>303746137</v>
      </c>
      <c r="L20" s="240"/>
      <c r="M20" s="240"/>
      <c r="N20" s="240"/>
      <c r="O20" s="240"/>
      <c r="P20" s="240"/>
      <c r="Q20" s="240"/>
      <c r="R20" s="240"/>
      <c r="S20" s="240"/>
      <c r="T20" s="283"/>
      <c r="U20" s="288"/>
      <c r="V20" s="284"/>
      <c r="W20" s="240">
        <v>303746137</v>
      </c>
      <c r="X20" s="240">
        <v>294557000</v>
      </c>
      <c r="Y20" s="290">
        <v>96.97</v>
      </c>
      <c r="Z20" s="307" t="s">
        <v>602</v>
      </c>
      <c r="AA20" s="240">
        <v>7</v>
      </c>
      <c r="AB20" s="4"/>
      <c r="AC20" s="240"/>
      <c r="AD20" s="4"/>
      <c r="AE20" s="240"/>
      <c r="AF20" s="4"/>
      <c r="AG20" s="240"/>
      <c r="AH20" s="240">
        <v>38941812</v>
      </c>
      <c r="AI20" s="240"/>
      <c r="AJ20" s="240"/>
      <c r="AK20" s="240" t="s">
        <v>440</v>
      </c>
      <c r="AL20" s="240"/>
      <c r="AM20" s="240"/>
      <c r="AN20" s="240"/>
      <c r="AO20" s="240"/>
      <c r="AP20" s="302"/>
      <c r="AQ20" s="302"/>
      <c r="AR20" s="593"/>
    </row>
    <row r="21" spans="1:44" ht="22.5" customHeight="1" x14ac:dyDescent="0.15">
      <c r="A21">
        <v>16</v>
      </c>
      <c r="B21" s="323" t="s">
        <v>39</v>
      </c>
      <c r="C21" s="324" t="s">
        <v>91</v>
      </c>
      <c r="D21" s="325" t="s">
        <v>35</v>
      </c>
      <c r="E21" s="326" t="s">
        <v>36</v>
      </c>
      <c r="F21" s="240">
        <v>298978528</v>
      </c>
      <c r="G21" s="240">
        <v>1113341524</v>
      </c>
      <c r="H21" s="240">
        <v>86054289</v>
      </c>
      <c r="I21" s="283">
        <v>682380111</v>
      </c>
      <c r="J21" s="285">
        <v>43</v>
      </c>
      <c r="K21" s="284">
        <v>2180754452</v>
      </c>
      <c r="L21" s="240"/>
      <c r="M21" s="240"/>
      <c r="N21" s="240"/>
      <c r="O21" s="240"/>
      <c r="P21" s="240"/>
      <c r="Q21" s="240"/>
      <c r="R21" s="240"/>
      <c r="S21" s="240"/>
      <c r="T21" s="283"/>
      <c r="U21" s="295"/>
      <c r="V21" s="284"/>
      <c r="W21" s="240">
        <v>2180754452</v>
      </c>
      <c r="X21" s="240"/>
      <c r="Y21" s="290"/>
      <c r="Z21" s="293" t="s">
        <v>596</v>
      </c>
      <c r="AA21" s="240">
        <v>18</v>
      </c>
      <c r="AB21" s="4"/>
      <c r="AC21" s="240"/>
      <c r="AD21" s="4"/>
      <c r="AE21" s="240"/>
      <c r="AF21" s="4"/>
      <c r="AG21" s="240"/>
      <c r="AH21" s="240">
        <v>121153025</v>
      </c>
      <c r="AI21" s="240"/>
      <c r="AJ21" s="240" t="s">
        <v>440</v>
      </c>
      <c r="AK21" s="240" t="s">
        <v>440</v>
      </c>
      <c r="AL21" s="240">
        <v>17</v>
      </c>
      <c r="AM21" s="240">
        <v>5958345</v>
      </c>
      <c r="AN21" s="240">
        <v>50715219</v>
      </c>
      <c r="AO21" s="241"/>
      <c r="AP21" s="302"/>
      <c r="AQ21" s="302">
        <v>13.71</v>
      </c>
      <c r="AR21" s="554" t="s">
        <v>148</v>
      </c>
    </row>
    <row r="22" spans="1:44" ht="22.5" customHeight="1" x14ac:dyDescent="0.15">
      <c r="A22">
        <v>17</v>
      </c>
      <c r="B22" s="323" t="s">
        <v>39</v>
      </c>
      <c r="C22" s="324" t="s">
        <v>92</v>
      </c>
      <c r="D22" s="323" t="s">
        <v>35</v>
      </c>
      <c r="E22" s="330" t="s">
        <v>38</v>
      </c>
      <c r="F22" s="240">
        <v>2555014881</v>
      </c>
      <c r="G22" s="240">
        <v>1877782918</v>
      </c>
      <c r="H22" s="240">
        <v>266834924</v>
      </c>
      <c r="I22" s="283">
        <v>6608168373</v>
      </c>
      <c r="J22" s="285">
        <v>367.4</v>
      </c>
      <c r="K22" s="284">
        <v>11307801096</v>
      </c>
      <c r="L22" s="240">
        <v>1689939234</v>
      </c>
      <c r="M22" s="240">
        <v>965256711</v>
      </c>
      <c r="N22" s="240">
        <v>202168142</v>
      </c>
      <c r="O22" s="240">
        <v>76383865</v>
      </c>
      <c r="P22" s="240">
        <v>1892107376</v>
      </c>
      <c r="Q22" s="240"/>
      <c r="R22" s="240">
        <v>1041640576</v>
      </c>
      <c r="S22" s="240"/>
      <c r="T22" s="283"/>
      <c r="U22" s="288">
        <v>220</v>
      </c>
      <c r="V22" s="284">
        <v>2933747952</v>
      </c>
      <c r="W22" s="240">
        <v>14241549048</v>
      </c>
      <c r="X22" s="240"/>
      <c r="Y22" s="290"/>
      <c r="Z22" s="5" t="s">
        <v>597</v>
      </c>
      <c r="AA22" s="240">
        <v>8</v>
      </c>
      <c r="AB22" s="4"/>
      <c r="AC22" s="240"/>
      <c r="AD22" s="4"/>
      <c r="AE22" s="240"/>
      <c r="AF22" s="4"/>
      <c r="AG22" s="240"/>
      <c r="AH22" s="240">
        <v>1780193631</v>
      </c>
      <c r="AI22" s="240" t="s">
        <v>440</v>
      </c>
      <c r="AJ22" s="240" t="s">
        <v>440</v>
      </c>
      <c r="AK22" s="240" t="s">
        <v>440</v>
      </c>
      <c r="AL22" s="240">
        <v>112</v>
      </c>
      <c r="AM22" s="240">
        <v>38911336</v>
      </c>
      <c r="AN22" s="240">
        <v>24242172</v>
      </c>
      <c r="AO22" s="241"/>
      <c r="AP22" s="302"/>
      <c r="AQ22" s="302">
        <v>31.23</v>
      </c>
      <c r="AR22" s="554" t="s">
        <v>149</v>
      </c>
    </row>
    <row r="23" spans="1:44" ht="22.5" customHeight="1" x14ac:dyDescent="0.15">
      <c r="A23" s="6">
        <v>18</v>
      </c>
      <c r="B23" s="323" t="s">
        <v>88</v>
      </c>
      <c r="C23" s="324" t="s">
        <v>90</v>
      </c>
      <c r="D23" s="325" t="s">
        <v>87</v>
      </c>
      <c r="E23" s="326" t="s">
        <v>36</v>
      </c>
      <c r="F23" s="240">
        <v>368508418</v>
      </c>
      <c r="G23" s="240">
        <v>756284521</v>
      </c>
      <c r="H23" s="240">
        <v>107468825</v>
      </c>
      <c r="I23" s="283">
        <v>675375985</v>
      </c>
      <c r="J23" s="285">
        <v>53</v>
      </c>
      <c r="K23" s="284">
        <v>1907637749</v>
      </c>
      <c r="L23" s="240"/>
      <c r="M23" s="240"/>
      <c r="N23" s="240"/>
      <c r="O23" s="240"/>
      <c r="P23" s="240"/>
      <c r="Q23" s="240"/>
      <c r="R23" s="240"/>
      <c r="S23" s="240"/>
      <c r="T23" s="283"/>
      <c r="U23" s="288"/>
      <c r="V23" s="284"/>
      <c r="W23" s="240">
        <v>1907637749</v>
      </c>
      <c r="X23" s="240"/>
      <c r="Y23" s="290"/>
      <c r="Z23" s="5" t="s">
        <v>598</v>
      </c>
      <c r="AA23" s="240">
        <v>254090</v>
      </c>
      <c r="AB23" s="4"/>
      <c r="AC23" s="240"/>
      <c r="AD23" s="4"/>
      <c r="AE23" s="240"/>
      <c r="AF23" s="4"/>
      <c r="AG23" s="240"/>
      <c r="AH23" s="240">
        <v>7507</v>
      </c>
      <c r="AI23" s="240" t="s">
        <v>440</v>
      </c>
      <c r="AJ23" s="240" t="s">
        <v>440</v>
      </c>
      <c r="AK23" s="240" t="s">
        <v>440</v>
      </c>
      <c r="AL23" s="240">
        <v>15</v>
      </c>
      <c r="AM23" s="240">
        <v>5212124</v>
      </c>
      <c r="AN23" s="240">
        <v>35993165</v>
      </c>
      <c r="AO23" s="241">
        <v>230087110312</v>
      </c>
      <c r="AP23" s="302">
        <v>0.83</v>
      </c>
      <c r="AQ23" s="302">
        <v>19.32</v>
      </c>
      <c r="AR23" s="554" t="s">
        <v>150</v>
      </c>
    </row>
    <row r="24" spans="1:44" ht="22.5" customHeight="1" x14ac:dyDescent="0.15">
      <c r="A24">
        <v>19</v>
      </c>
      <c r="B24" s="328" t="s">
        <v>93</v>
      </c>
      <c r="C24" s="327" t="s">
        <v>356</v>
      </c>
      <c r="D24" s="328" t="s">
        <v>338</v>
      </c>
      <c r="E24" s="328" t="s">
        <v>339</v>
      </c>
      <c r="F24" s="240">
        <v>104294835</v>
      </c>
      <c r="G24" s="240">
        <v>54284981</v>
      </c>
      <c r="H24" s="240">
        <v>6251322</v>
      </c>
      <c r="I24" s="283"/>
      <c r="J24" s="285">
        <v>15</v>
      </c>
      <c r="K24" s="284">
        <v>164831140</v>
      </c>
      <c r="L24" s="240"/>
      <c r="M24" s="240"/>
      <c r="N24" s="240"/>
      <c r="O24" s="240"/>
      <c r="P24" s="240"/>
      <c r="Q24" s="240"/>
      <c r="R24" s="240"/>
      <c r="S24" s="240"/>
      <c r="T24" s="283"/>
      <c r="U24" s="288"/>
      <c r="V24" s="284"/>
      <c r="W24" s="240">
        <v>164831140</v>
      </c>
      <c r="X24" s="240">
        <v>134488000</v>
      </c>
      <c r="Y24" s="290">
        <v>81.59</v>
      </c>
      <c r="Z24" s="5" t="s">
        <v>359</v>
      </c>
      <c r="AA24" s="240">
        <v>16811</v>
      </c>
      <c r="AB24" s="4"/>
      <c r="AC24" s="240"/>
      <c r="AD24" s="4"/>
      <c r="AE24" s="240"/>
      <c r="AF24" s="4"/>
      <c r="AG24" s="240"/>
      <c r="AH24" s="240">
        <v>9804</v>
      </c>
      <c r="AI24" s="240" t="s">
        <v>440</v>
      </c>
      <c r="AJ24" s="240" t="s">
        <v>440</v>
      </c>
      <c r="AK24" s="240" t="s">
        <v>440</v>
      </c>
      <c r="AL24" s="240">
        <v>1</v>
      </c>
      <c r="AM24" s="240">
        <v>450358</v>
      </c>
      <c r="AN24" s="240">
        <v>10988742</v>
      </c>
      <c r="AO24" s="240"/>
      <c r="AP24" s="302"/>
      <c r="AQ24" s="302">
        <v>22.92</v>
      </c>
      <c r="AR24" s="554" t="s">
        <v>148</v>
      </c>
    </row>
    <row r="25" spans="1:44" ht="22.5" customHeight="1" x14ac:dyDescent="0.15">
      <c r="A25">
        <v>20</v>
      </c>
      <c r="B25" s="323" t="s">
        <v>93</v>
      </c>
      <c r="C25" s="324" t="s">
        <v>94</v>
      </c>
      <c r="D25" s="325" t="s">
        <v>35</v>
      </c>
      <c r="E25" s="326" t="s">
        <v>36</v>
      </c>
      <c r="F25" s="240">
        <v>161761289938</v>
      </c>
      <c r="G25" s="240">
        <v>5402816312</v>
      </c>
      <c r="H25" s="240">
        <v>23476463353</v>
      </c>
      <c r="I25" s="283">
        <v>71544548543</v>
      </c>
      <c r="J25" s="285">
        <v>23265</v>
      </c>
      <c r="K25" s="284">
        <v>262185118146</v>
      </c>
      <c r="L25" s="240"/>
      <c r="M25" s="240"/>
      <c r="N25" s="240"/>
      <c r="O25" s="240"/>
      <c r="P25" s="240"/>
      <c r="Q25" s="240"/>
      <c r="R25" s="240"/>
      <c r="S25" s="240"/>
      <c r="T25" s="283"/>
      <c r="U25" s="288"/>
      <c r="V25" s="284"/>
      <c r="W25" s="240">
        <v>262185118146</v>
      </c>
      <c r="X25" s="240">
        <v>3530152526</v>
      </c>
      <c r="Y25" s="290">
        <v>1.35</v>
      </c>
      <c r="Z25" s="494" t="s">
        <v>238</v>
      </c>
      <c r="AA25" s="240">
        <v>51140</v>
      </c>
      <c r="AB25" s="4"/>
      <c r="AC25" s="240"/>
      <c r="AD25" s="4"/>
      <c r="AE25" s="240"/>
      <c r="AF25" s="4"/>
      <c r="AG25" s="240"/>
      <c r="AH25" s="240">
        <v>14007</v>
      </c>
      <c r="AI25" s="240" t="s">
        <v>440</v>
      </c>
      <c r="AJ25" s="240" t="s">
        <v>440</v>
      </c>
      <c r="AK25" s="240" t="s">
        <v>440</v>
      </c>
      <c r="AL25" s="240">
        <v>2078</v>
      </c>
      <c r="AM25" s="240">
        <v>716352781</v>
      </c>
      <c r="AN25" s="240">
        <v>11269508</v>
      </c>
      <c r="AO25" s="241"/>
      <c r="AP25" s="302"/>
      <c r="AQ25" s="302">
        <v>61.7</v>
      </c>
      <c r="AR25" s="554" t="s">
        <v>148</v>
      </c>
    </row>
    <row r="26" spans="1:44" ht="22.5" customHeight="1" x14ac:dyDescent="0.15">
      <c r="A26" s="6">
        <v>21</v>
      </c>
      <c r="B26" s="328" t="s">
        <v>93</v>
      </c>
      <c r="C26" s="327" t="s">
        <v>506</v>
      </c>
      <c r="D26" s="328" t="s">
        <v>338</v>
      </c>
      <c r="E26" s="328" t="s">
        <v>339</v>
      </c>
      <c r="F26" s="240">
        <v>361555429</v>
      </c>
      <c r="G26" s="240">
        <v>31396883</v>
      </c>
      <c r="H26" s="240">
        <v>19042295</v>
      </c>
      <c r="I26" s="283">
        <v>421077475</v>
      </c>
      <c r="J26" s="285">
        <v>52</v>
      </c>
      <c r="K26" s="284">
        <v>833072083</v>
      </c>
      <c r="L26" s="240"/>
      <c r="M26" s="240"/>
      <c r="N26" s="240"/>
      <c r="O26" s="240"/>
      <c r="P26" s="240"/>
      <c r="Q26" s="240"/>
      <c r="R26" s="240"/>
      <c r="S26" s="240"/>
      <c r="T26" s="283"/>
      <c r="U26" s="288"/>
      <c r="V26" s="284"/>
      <c r="W26" s="240">
        <v>833072083</v>
      </c>
      <c r="X26" s="240"/>
      <c r="Y26" s="290"/>
      <c r="Z26" s="600" t="s">
        <v>358</v>
      </c>
      <c r="AA26" s="240">
        <v>203570</v>
      </c>
      <c r="AB26" s="4"/>
      <c r="AC26" s="240"/>
      <c r="AD26" s="4"/>
      <c r="AE26" s="240"/>
      <c r="AF26" s="4"/>
      <c r="AG26" s="240"/>
      <c r="AH26" s="240">
        <v>4092</v>
      </c>
      <c r="AI26" s="240" t="s">
        <v>440</v>
      </c>
      <c r="AJ26" s="240" t="s">
        <v>440</v>
      </c>
      <c r="AK26" s="240" t="s">
        <v>440</v>
      </c>
      <c r="AL26" s="240">
        <v>6</v>
      </c>
      <c r="AM26" s="240">
        <v>2276153</v>
      </c>
      <c r="AN26" s="240">
        <v>16020616</v>
      </c>
      <c r="AO26" s="240"/>
      <c r="AP26" s="302"/>
      <c r="AQ26" s="302">
        <v>43.4</v>
      </c>
      <c r="AR26" s="554" t="s">
        <v>148</v>
      </c>
    </row>
    <row r="27" spans="1:44" ht="22.5" customHeight="1" x14ac:dyDescent="0.15">
      <c r="A27">
        <v>22</v>
      </c>
      <c r="B27" s="323" t="s">
        <v>93</v>
      </c>
      <c r="C27" s="324" t="s">
        <v>95</v>
      </c>
      <c r="D27" s="325" t="s">
        <v>35</v>
      </c>
      <c r="E27" s="326" t="s">
        <v>36</v>
      </c>
      <c r="F27" s="240">
        <v>3281810825</v>
      </c>
      <c r="G27" s="240">
        <v>404737309</v>
      </c>
      <c r="H27" s="240">
        <v>228862166</v>
      </c>
      <c r="I27" s="283">
        <v>1232891300</v>
      </c>
      <c r="J27" s="286">
        <v>472</v>
      </c>
      <c r="K27" s="284">
        <v>5148301600</v>
      </c>
      <c r="L27" s="240"/>
      <c r="M27" s="240"/>
      <c r="N27" s="240"/>
      <c r="O27" s="240"/>
      <c r="P27" s="240"/>
      <c r="Q27" s="240"/>
      <c r="R27" s="240"/>
      <c r="S27" s="240"/>
      <c r="T27" s="283"/>
      <c r="U27" s="296"/>
      <c r="V27" s="284"/>
      <c r="W27" s="240">
        <v>5148301600</v>
      </c>
      <c r="X27" s="240"/>
      <c r="Y27" s="290"/>
      <c r="Z27" s="5" t="s">
        <v>239</v>
      </c>
      <c r="AA27" s="240">
        <v>5613</v>
      </c>
      <c r="AB27" s="4"/>
      <c r="AC27" s="240"/>
      <c r="AD27" s="4"/>
      <c r="AE27" s="240"/>
      <c r="AF27" s="4"/>
      <c r="AG27" s="240"/>
      <c r="AH27" s="240">
        <v>917210</v>
      </c>
      <c r="AI27" s="240" t="s">
        <v>440</v>
      </c>
      <c r="AJ27" s="240" t="s">
        <v>440</v>
      </c>
      <c r="AK27" s="240" t="s">
        <v>440</v>
      </c>
      <c r="AL27" s="240">
        <v>40</v>
      </c>
      <c r="AM27" s="240">
        <v>14066397</v>
      </c>
      <c r="AN27" s="240">
        <v>10907418</v>
      </c>
      <c r="AO27" s="240"/>
      <c r="AP27" s="302"/>
      <c r="AQ27" s="302">
        <v>63.75</v>
      </c>
      <c r="AR27" s="554" t="s">
        <v>148</v>
      </c>
    </row>
    <row r="28" spans="1:44" ht="22.5" customHeight="1" x14ac:dyDescent="0.15">
      <c r="A28">
        <v>23</v>
      </c>
      <c r="B28" s="323" t="s">
        <v>93</v>
      </c>
      <c r="C28" s="324" t="s">
        <v>332</v>
      </c>
      <c r="D28" s="325" t="s">
        <v>35</v>
      </c>
      <c r="E28" s="326" t="s">
        <v>36</v>
      </c>
      <c r="F28" s="240">
        <v>35126500613</v>
      </c>
      <c r="G28" s="240">
        <v>1535342879</v>
      </c>
      <c r="H28" s="240">
        <v>1073892923</v>
      </c>
      <c r="I28" s="283">
        <v>30210159860</v>
      </c>
      <c r="J28" s="285">
        <v>5052</v>
      </c>
      <c r="K28" s="284">
        <v>67945896275</v>
      </c>
      <c r="L28" s="240"/>
      <c r="M28" s="240"/>
      <c r="N28" s="240"/>
      <c r="O28" s="240"/>
      <c r="P28" s="240"/>
      <c r="Q28" s="240"/>
      <c r="R28" s="240"/>
      <c r="S28" s="240"/>
      <c r="T28" s="283"/>
      <c r="U28" s="288"/>
      <c r="V28" s="284"/>
      <c r="W28" s="240">
        <v>67945896275</v>
      </c>
      <c r="X28" s="240">
        <v>4731204800</v>
      </c>
      <c r="Y28" s="290">
        <v>6.96</v>
      </c>
      <c r="Z28" s="494" t="s">
        <v>240</v>
      </c>
      <c r="AA28" s="240">
        <v>118855483</v>
      </c>
      <c r="AB28" s="4"/>
      <c r="AC28" s="240"/>
      <c r="AD28" s="4"/>
      <c r="AE28" s="240"/>
      <c r="AF28" s="4"/>
      <c r="AG28" s="240"/>
      <c r="AH28" s="240">
        <v>571</v>
      </c>
      <c r="AI28" s="240" t="s">
        <v>440</v>
      </c>
      <c r="AJ28" s="240" t="s">
        <v>440</v>
      </c>
      <c r="AK28" s="240" t="s">
        <v>440</v>
      </c>
      <c r="AL28" s="240">
        <v>538</v>
      </c>
      <c r="AM28" s="240">
        <v>185644525</v>
      </c>
      <c r="AN28" s="240">
        <v>13449306</v>
      </c>
      <c r="AO28" s="241"/>
      <c r="AP28" s="302"/>
      <c r="AQ28" s="302">
        <v>51.7</v>
      </c>
      <c r="AR28" s="554" t="s">
        <v>148</v>
      </c>
    </row>
    <row r="29" spans="1:44" ht="22.5" customHeight="1" x14ac:dyDescent="0.15">
      <c r="A29" s="6">
        <v>24</v>
      </c>
      <c r="B29" s="328" t="s">
        <v>97</v>
      </c>
      <c r="C29" s="327" t="s">
        <v>428</v>
      </c>
      <c r="D29" s="328" t="s">
        <v>338</v>
      </c>
      <c r="E29" s="328" t="s">
        <v>339</v>
      </c>
      <c r="F29" s="240">
        <v>27534428</v>
      </c>
      <c r="G29" s="240">
        <v>37113027</v>
      </c>
      <c r="H29" s="240">
        <v>288752</v>
      </c>
      <c r="I29" s="283">
        <v>48100347</v>
      </c>
      <c r="J29" s="285">
        <v>2.7</v>
      </c>
      <c r="K29" s="284">
        <v>113036556</v>
      </c>
      <c r="L29" s="240"/>
      <c r="M29" s="240"/>
      <c r="N29" s="240"/>
      <c r="O29" s="240"/>
      <c r="P29" s="240"/>
      <c r="Q29" s="240"/>
      <c r="R29" s="240"/>
      <c r="S29" s="240"/>
      <c r="T29" s="283"/>
      <c r="U29" s="288"/>
      <c r="V29" s="284"/>
      <c r="W29" s="240">
        <v>113036556</v>
      </c>
      <c r="X29" s="240"/>
      <c r="Y29" s="290"/>
      <c r="Z29" s="5" t="s">
        <v>360</v>
      </c>
      <c r="AA29" s="240">
        <v>42</v>
      </c>
      <c r="AB29" s="547" t="s">
        <v>361</v>
      </c>
      <c r="AC29" s="240">
        <v>159</v>
      </c>
      <c r="AD29" s="4"/>
      <c r="AE29" s="240"/>
      <c r="AF29" s="4"/>
      <c r="AG29" s="240"/>
      <c r="AH29" s="240">
        <v>2691346</v>
      </c>
      <c r="AI29" s="240">
        <v>710921</v>
      </c>
      <c r="AJ29" s="240" t="s">
        <v>440</v>
      </c>
      <c r="AK29" s="240" t="s">
        <v>440</v>
      </c>
      <c r="AL29" s="310">
        <v>0.8</v>
      </c>
      <c r="AM29" s="240">
        <v>308843</v>
      </c>
      <c r="AN29" s="240">
        <v>41254217</v>
      </c>
      <c r="AO29" s="241"/>
      <c r="AP29" s="302"/>
      <c r="AQ29" s="302">
        <v>24.36</v>
      </c>
      <c r="AR29" s="554" t="s">
        <v>148</v>
      </c>
    </row>
    <row r="30" spans="1:44" ht="22.5" customHeight="1" x14ac:dyDescent="0.15">
      <c r="A30">
        <v>25</v>
      </c>
      <c r="B30" s="328" t="s">
        <v>97</v>
      </c>
      <c r="C30" s="327" t="s">
        <v>427</v>
      </c>
      <c r="D30" s="328" t="s">
        <v>338</v>
      </c>
      <c r="E30" s="328" t="s">
        <v>339</v>
      </c>
      <c r="F30" s="240">
        <v>1390597</v>
      </c>
      <c r="G30" s="240">
        <v>9089462</v>
      </c>
      <c r="H30" s="240">
        <v>30685</v>
      </c>
      <c r="I30" s="283">
        <v>24708000</v>
      </c>
      <c r="J30" s="285">
        <v>0.2</v>
      </c>
      <c r="K30" s="284">
        <v>35218745</v>
      </c>
      <c r="L30" s="240"/>
      <c r="M30" s="240"/>
      <c r="N30" s="240"/>
      <c r="O30" s="240"/>
      <c r="P30" s="240"/>
      <c r="Q30" s="240"/>
      <c r="R30" s="240"/>
      <c r="S30" s="240"/>
      <c r="T30" s="283"/>
      <c r="U30" s="288"/>
      <c r="V30" s="284"/>
      <c r="W30" s="240">
        <v>35218745</v>
      </c>
      <c r="X30" s="240"/>
      <c r="Y30" s="290"/>
      <c r="Z30" s="294" t="s">
        <v>363</v>
      </c>
      <c r="AA30" s="240">
        <v>57</v>
      </c>
      <c r="AB30" s="4" t="s">
        <v>443</v>
      </c>
      <c r="AC30" s="240">
        <v>6</v>
      </c>
      <c r="AD30" s="4" t="s">
        <v>605</v>
      </c>
      <c r="AE30" s="240">
        <v>62</v>
      </c>
      <c r="AF30" s="4"/>
      <c r="AG30" s="240"/>
      <c r="AH30" s="240">
        <v>617872</v>
      </c>
      <c r="AI30" s="240">
        <v>5869790</v>
      </c>
      <c r="AJ30" s="240">
        <v>568044</v>
      </c>
      <c r="AK30" s="240" t="s">
        <v>440</v>
      </c>
      <c r="AL30" s="310">
        <v>0.2</v>
      </c>
      <c r="AM30" s="240">
        <v>96226</v>
      </c>
      <c r="AN30" s="240"/>
      <c r="AO30" s="241"/>
      <c r="AP30" s="302"/>
      <c r="AQ30" s="302">
        <v>3.95</v>
      </c>
      <c r="AR30" s="554" t="s">
        <v>148</v>
      </c>
    </row>
    <row r="31" spans="1:44" ht="22.5" customHeight="1" x14ac:dyDescent="0.15">
      <c r="A31">
        <v>26</v>
      </c>
      <c r="B31" s="328" t="s">
        <v>97</v>
      </c>
      <c r="C31" s="327" t="s">
        <v>355</v>
      </c>
      <c r="D31" s="328" t="s">
        <v>338</v>
      </c>
      <c r="E31" s="328" t="s">
        <v>339</v>
      </c>
      <c r="F31" s="240">
        <v>2400507</v>
      </c>
      <c r="G31" s="240">
        <v>3186468</v>
      </c>
      <c r="H31" s="240">
        <v>15202</v>
      </c>
      <c r="I31" s="283">
        <v>7259000</v>
      </c>
      <c r="J31" s="285">
        <v>0.2</v>
      </c>
      <c r="K31" s="284">
        <v>12861177</v>
      </c>
      <c r="L31" s="240"/>
      <c r="M31" s="240"/>
      <c r="N31" s="240"/>
      <c r="O31" s="240"/>
      <c r="P31" s="240"/>
      <c r="Q31" s="240"/>
      <c r="R31" s="240"/>
      <c r="S31" s="240"/>
      <c r="T31" s="283"/>
      <c r="U31" s="295"/>
      <c r="V31" s="284"/>
      <c r="W31" s="240">
        <v>12861177</v>
      </c>
      <c r="X31" s="240"/>
      <c r="Y31" s="290"/>
      <c r="Z31" s="501" t="s">
        <v>360</v>
      </c>
      <c r="AA31" s="240">
        <v>4</v>
      </c>
      <c r="AB31" s="497" t="s">
        <v>362</v>
      </c>
      <c r="AC31" s="240">
        <v>2</v>
      </c>
      <c r="AD31" s="4"/>
      <c r="AE31" s="240"/>
      <c r="AF31" s="4"/>
      <c r="AG31" s="240"/>
      <c r="AH31" s="240">
        <v>3215294</v>
      </c>
      <c r="AI31" s="240">
        <v>6430588</v>
      </c>
      <c r="AJ31" s="240" t="s">
        <v>440</v>
      </c>
      <c r="AK31" s="240" t="s">
        <v>440</v>
      </c>
      <c r="AL31" s="310">
        <v>0.1</v>
      </c>
      <c r="AM31" s="240">
        <v>35139</v>
      </c>
      <c r="AN31" s="240"/>
      <c r="AO31" s="240"/>
      <c r="AP31" s="302"/>
      <c r="AQ31" s="302">
        <v>18.66</v>
      </c>
      <c r="AR31" s="554" t="s">
        <v>148</v>
      </c>
    </row>
    <row r="32" spans="1:44" ht="22.5" customHeight="1" x14ac:dyDescent="0.15">
      <c r="A32" s="6">
        <v>27</v>
      </c>
      <c r="B32" s="323" t="s">
        <v>98</v>
      </c>
      <c r="C32" s="324" t="s">
        <v>99</v>
      </c>
      <c r="D32" s="325" t="s">
        <v>35</v>
      </c>
      <c r="E32" s="326" t="s">
        <v>36</v>
      </c>
      <c r="F32" s="240">
        <v>4380383093</v>
      </c>
      <c r="G32" s="240">
        <v>161823690</v>
      </c>
      <c r="H32" s="240">
        <v>118094650</v>
      </c>
      <c r="I32" s="283">
        <v>398870770</v>
      </c>
      <c r="J32" s="285">
        <v>630</v>
      </c>
      <c r="K32" s="284">
        <v>5059172205</v>
      </c>
      <c r="L32" s="240"/>
      <c r="M32" s="240"/>
      <c r="N32" s="240"/>
      <c r="O32" s="240"/>
      <c r="P32" s="240"/>
      <c r="Q32" s="240"/>
      <c r="R32" s="240"/>
      <c r="S32" s="240"/>
      <c r="T32" s="283"/>
      <c r="U32" s="288"/>
      <c r="V32" s="284"/>
      <c r="W32" s="240">
        <v>5059172205</v>
      </c>
      <c r="X32" s="240"/>
      <c r="Y32" s="290"/>
      <c r="Z32" s="494" t="s">
        <v>458</v>
      </c>
      <c r="AA32" s="240">
        <v>5108860</v>
      </c>
      <c r="AB32" s="4"/>
      <c r="AC32" s="240"/>
      <c r="AD32" s="4"/>
      <c r="AE32" s="240"/>
      <c r="AF32" s="4"/>
      <c r="AG32" s="240"/>
      <c r="AH32" s="240">
        <v>990</v>
      </c>
      <c r="AI32" s="240" t="s">
        <v>440</v>
      </c>
      <c r="AJ32" s="240" t="s">
        <v>440</v>
      </c>
      <c r="AK32" s="240" t="s">
        <v>440</v>
      </c>
      <c r="AL32" s="240">
        <v>40</v>
      </c>
      <c r="AM32" s="240">
        <v>13822874</v>
      </c>
      <c r="AN32" s="240">
        <v>8030432</v>
      </c>
      <c r="AO32" s="240"/>
      <c r="AP32" s="302"/>
      <c r="AQ32" s="302">
        <v>86.58</v>
      </c>
      <c r="AR32" s="554" t="s">
        <v>148</v>
      </c>
    </row>
    <row r="33" spans="1:44" ht="22.5" customHeight="1" x14ac:dyDescent="0.15">
      <c r="A33">
        <v>28</v>
      </c>
      <c r="B33" s="328" t="s">
        <v>98</v>
      </c>
      <c r="C33" s="327" t="s">
        <v>354</v>
      </c>
      <c r="D33" s="328" t="s">
        <v>338</v>
      </c>
      <c r="E33" s="328" t="s">
        <v>339</v>
      </c>
      <c r="F33" s="240">
        <v>27815406</v>
      </c>
      <c r="G33" s="240">
        <v>141059000</v>
      </c>
      <c r="H33" s="240">
        <v>749900</v>
      </c>
      <c r="I33" s="283">
        <v>20948000</v>
      </c>
      <c r="J33" s="285">
        <v>4</v>
      </c>
      <c r="K33" s="284">
        <v>190572307</v>
      </c>
      <c r="L33" s="240"/>
      <c r="M33" s="240"/>
      <c r="N33" s="240"/>
      <c r="O33" s="240"/>
      <c r="P33" s="240"/>
      <c r="Q33" s="240"/>
      <c r="R33" s="240"/>
      <c r="S33" s="240"/>
      <c r="T33" s="283"/>
      <c r="U33" s="295"/>
      <c r="V33" s="284"/>
      <c r="W33" s="240">
        <v>190572307</v>
      </c>
      <c r="X33" s="240">
        <v>176435400</v>
      </c>
      <c r="Y33" s="290">
        <v>92.58</v>
      </c>
      <c r="Z33" s="502" t="s">
        <v>364</v>
      </c>
      <c r="AA33" s="240">
        <v>36701</v>
      </c>
      <c r="AB33" s="4" t="s">
        <v>374</v>
      </c>
      <c r="AC33" s="240">
        <v>29779</v>
      </c>
      <c r="AD33" s="4"/>
      <c r="AE33" s="240"/>
      <c r="AF33" s="4"/>
      <c r="AG33" s="240"/>
      <c r="AH33" s="240">
        <v>5192</v>
      </c>
      <c r="AI33" s="240">
        <v>6399</v>
      </c>
      <c r="AJ33" s="240" t="s">
        <v>440</v>
      </c>
      <c r="AK33" s="240" t="s">
        <v>440</v>
      </c>
      <c r="AL33" s="240">
        <v>1</v>
      </c>
      <c r="AM33" s="240">
        <v>520689</v>
      </c>
      <c r="AN33" s="240">
        <v>47637166</v>
      </c>
      <c r="AO33" s="240"/>
      <c r="AP33" s="302"/>
      <c r="AQ33" s="302">
        <v>14.6</v>
      </c>
      <c r="AR33" s="554" t="s">
        <v>148</v>
      </c>
    </row>
    <row r="34" spans="1:44" ht="22.5" customHeight="1" x14ac:dyDescent="0.15">
      <c r="A34">
        <v>29</v>
      </c>
      <c r="B34" s="323" t="s">
        <v>98</v>
      </c>
      <c r="C34" s="324" t="s">
        <v>100</v>
      </c>
      <c r="D34" s="325" t="s">
        <v>35</v>
      </c>
      <c r="E34" s="326" t="s">
        <v>36</v>
      </c>
      <c r="F34" s="240">
        <v>21721137753</v>
      </c>
      <c r="G34" s="240">
        <v>1042940521</v>
      </c>
      <c r="H34" s="240">
        <v>1524364667</v>
      </c>
      <c r="I34" s="283">
        <v>10824947319</v>
      </c>
      <c r="J34" s="285"/>
      <c r="K34" s="284">
        <v>35113390261</v>
      </c>
      <c r="L34" s="240"/>
      <c r="M34" s="240"/>
      <c r="N34" s="240"/>
      <c r="O34" s="240"/>
      <c r="P34" s="240"/>
      <c r="Q34" s="240"/>
      <c r="R34" s="240"/>
      <c r="S34" s="240"/>
      <c r="T34" s="283"/>
      <c r="U34" s="288"/>
      <c r="V34" s="284"/>
      <c r="W34" s="240">
        <v>35113390261</v>
      </c>
      <c r="X34" s="240"/>
      <c r="Y34" s="290"/>
      <c r="Z34" s="501" t="s">
        <v>459</v>
      </c>
      <c r="AA34" s="240">
        <v>91616093</v>
      </c>
      <c r="AB34" s="4"/>
      <c r="AC34" s="240"/>
      <c r="AD34" s="4"/>
      <c r="AE34" s="240"/>
      <c r="AF34" s="4"/>
      <c r="AG34" s="240"/>
      <c r="AH34" s="240">
        <v>383</v>
      </c>
      <c r="AI34" s="240" t="s">
        <v>440</v>
      </c>
      <c r="AJ34" s="240" t="s">
        <v>440</v>
      </c>
      <c r="AK34" s="240" t="s">
        <v>440</v>
      </c>
      <c r="AL34" s="240">
        <v>278</v>
      </c>
      <c r="AM34" s="240">
        <v>95938224</v>
      </c>
      <c r="AN34" s="240"/>
      <c r="AO34" s="240"/>
      <c r="AP34" s="302"/>
      <c r="AQ34" s="302">
        <v>61.86</v>
      </c>
      <c r="AR34" s="554" t="s">
        <v>148</v>
      </c>
    </row>
    <row r="35" spans="1:44" ht="22.5" customHeight="1" x14ac:dyDescent="0.15">
      <c r="A35" s="6">
        <v>30</v>
      </c>
      <c r="B35" s="323" t="s">
        <v>98</v>
      </c>
      <c r="C35" s="324" t="s">
        <v>101</v>
      </c>
      <c r="D35" s="325" t="s">
        <v>35</v>
      </c>
      <c r="E35" s="326" t="s">
        <v>36</v>
      </c>
      <c r="F35" s="240">
        <v>8781625154</v>
      </c>
      <c r="G35" s="240">
        <v>421649769</v>
      </c>
      <c r="H35" s="240">
        <v>616284434</v>
      </c>
      <c r="I35" s="283">
        <v>5216044925</v>
      </c>
      <c r="J35" s="285">
        <v>1263</v>
      </c>
      <c r="K35" s="284">
        <v>15035604283</v>
      </c>
      <c r="L35" s="240"/>
      <c r="M35" s="240"/>
      <c r="N35" s="240"/>
      <c r="O35" s="240"/>
      <c r="P35" s="240"/>
      <c r="Q35" s="240"/>
      <c r="R35" s="240"/>
      <c r="S35" s="240"/>
      <c r="T35" s="283"/>
      <c r="U35" s="288"/>
      <c r="V35" s="284"/>
      <c r="W35" s="240">
        <v>15035604283</v>
      </c>
      <c r="X35" s="240"/>
      <c r="Y35" s="290"/>
      <c r="Z35" s="297" t="s">
        <v>460</v>
      </c>
      <c r="AA35" s="240">
        <v>67489928</v>
      </c>
      <c r="AB35" s="4"/>
      <c r="AC35" s="240"/>
      <c r="AD35" s="4"/>
      <c r="AE35" s="240"/>
      <c r="AF35" s="4"/>
      <c r="AG35" s="240"/>
      <c r="AH35" s="240">
        <v>222</v>
      </c>
      <c r="AI35" s="240" t="s">
        <v>440</v>
      </c>
      <c r="AJ35" s="240" t="s">
        <v>440</v>
      </c>
      <c r="AK35" s="240" t="s">
        <v>440</v>
      </c>
      <c r="AL35" s="240">
        <v>119</v>
      </c>
      <c r="AM35" s="240">
        <v>41080886</v>
      </c>
      <c r="AN35" s="240">
        <v>11904674</v>
      </c>
      <c r="AO35" s="240"/>
      <c r="AP35" s="302"/>
      <c r="AQ35" s="302">
        <v>58.41</v>
      </c>
      <c r="AR35" s="554" t="s">
        <v>148</v>
      </c>
    </row>
    <row r="36" spans="1:44" ht="22.5" customHeight="1" x14ac:dyDescent="0.15">
      <c r="A36">
        <v>31</v>
      </c>
      <c r="B36" s="328" t="s">
        <v>102</v>
      </c>
      <c r="C36" s="327" t="s">
        <v>430</v>
      </c>
      <c r="D36" s="328" t="s">
        <v>338</v>
      </c>
      <c r="E36" s="328" t="s">
        <v>345</v>
      </c>
      <c r="F36" s="240"/>
      <c r="G36" s="240"/>
      <c r="H36" s="240"/>
      <c r="I36" s="283"/>
      <c r="J36" s="286"/>
      <c r="K36" s="284"/>
      <c r="L36" s="240">
        <v>64361803</v>
      </c>
      <c r="M36" s="240">
        <v>26064462</v>
      </c>
      <c r="N36" s="240">
        <v>19819718</v>
      </c>
      <c r="O36" s="240">
        <v>2830212</v>
      </c>
      <c r="P36" s="240">
        <v>84181521</v>
      </c>
      <c r="Q36" s="240"/>
      <c r="R36" s="240">
        <v>28894674</v>
      </c>
      <c r="S36" s="240">
        <v>1100059</v>
      </c>
      <c r="T36" s="283"/>
      <c r="U36" s="296">
        <v>10</v>
      </c>
      <c r="V36" s="284">
        <v>114176255</v>
      </c>
      <c r="W36" s="240">
        <v>114176255</v>
      </c>
      <c r="X36" s="240">
        <v>1869496</v>
      </c>
      <c r="Y36" s="290">
        <v>1.64</v>
      </c>
      <c r="Z36" s="5" t="s">
        <v>365</v>
      </c>
      <c r="AA36" s="240">
        <v>1908</v>
      </c>
      <c r="AB36" s="4" t="s">
        <v>444</v>
      </c>
      <c r="AC36" s="240">
        <v>9</v>
      </c>
      <c r="AD36" s="4"/>
      <c r="AE36" s="240"/>
      <c r="AF36" s="4"/>
      <c r="AG36" s="240"/>
      <c r="AH36" s="240">
        <v>59840</v>
      </c>
      <c r="AI36" s="240">
        <v>12686250</v>
      </c>
      <c r="AJ36" s="240" t="s">
        <v>440</v>
      </c>
      <c r="AK36" s="240" t="s">
        <v>440</v>
      </c>
      <c r="AL36" s="310">
        <v>0.9</v>
      </c>
      <c r="AM36" s="240">
        <v>311956</v>
      </c>
      <c r="AN36" s="240">
        <v>11417625</v>
      </c>
      <c r="AO36" s="240"/>
      <c r="AP36" s="302"/>
      <c r="AQ36" s="302">
        <v>73.73</v>
      </c>
      <c r="AR36" s="554" t="s">
        <v>149</v>
      </c>
    </row>
    <row r="37" spans="1:44" ht="22.5" customHeight="1" x14ac:dyDescent="0.15">
      <c r="A37">
        <v>32</v>
      </c>
      <c r="B37" s="323" t="s">
        <v>102</v>
      </c>
      <c r="C37" s="324" t="s">
        <v>224</v>
      </c>
      <c r="D37" s="325" t="s">
        <v>35</v>
      </c>
      <c r="E37" s="328" t="s">
        <v>345</v>
      </c>
      <c r="F37" s="240">
        <v>695298</v>
      </c>
      <c r="G37" s="240">
        <v>442162</v>
      </c>
      <c r="H37" s="240">
        <v>63369</v>
      </c>
      <c r="I37" s="283"/>
      <c r="J37" s="285">
        <v>0.1</v>
      </c>
      <c r="K37" s="284">
        <v>1200830</v>
      </c>
      <c r="L37" s="240">
        <v>68849404</v>
      </c>
      <c r="M37" s="240">
        <v>204427730</v>
      </c>
      <c r="N37" s="240">
        <v>4802227</v>
      </c>
      <c r="O37" s="240">
        <v>5391341</v>
      </c>
      <c r="P37" s="240">
        <v>73651631</v>
      </c>
      <c r="Q37" s="240"/>
      <c r="R37" s="240">
        <v>209819071</v>
      </c>
      <c r="S37" s="240"/>
      <c r="T37" s="283"/>
      <c r="U37" s="288">
        <v>1</v>
      </c>
      <c r="V37" s="284">
        <v>283470703</v>
      </c>
      <c r="W37" s="240">
        <v>284671534</v>
      </c>
      <c r="X37" s="240">
        <v>27205500</v>
      </c>
      <c r="Y37" s="290">
        <v>9.56</v>
      </c>
      <c r="Z37" s="5" t="s">
        <v>359</v>
      </c>
      <c r="AA37" s="240">
        <v>1165</v>
      </c>
      <c r="AB37" s="4" t="s">
        <v>241</v>
      </c>
      <c r="AC37" s="240">
        <v>1006</v>
      </c>
      <c r="AD37" s="4"/>
      <c r="AE37" s="240"/>
      <c r="AF37" s="4"/>
      <c r="AG37" s="240"/>
      <c r="AH37" s="240">
        <v>244353</v>
      </c>
      <c r="AI37" s="240">
        <v>282973</v>
      </c>
      <c r="AJ37" s="240" t="s">
        <v>440</v>
      </c>
      <c r="AK37" s="240" t="s">
        <v>440</v>
      </c>
      <c r="AL37" s="240">
        <v>2</v>
      </c>
      <c r="AM37" s="240">
        <v>777791</v>
      </c>
      <c r="AN37" s="240">
        <v>258792303</v>
      </c>
      <c r="AO37" s="240"/>
      <c r="AP37" s="302"/>
      <c r="AQ37" s="302">
        <v>26.12</v>
      </c>
      <c r="AR37" s="554" t="s">
        <v>152</v>
      </c>
    </row>
    <row r="38" spans="1:44" ht="22.5" customHeight="1" x14ac:dyDescent="0.15">
      <c r="A38" s="6">
        <v>33</v>
      </c>
      <c r="B38" s="328" t="s">
        <v>102</v>
      </c>
      <c r="C38" s="327" t="s">
        <v>429</v>
      </c>
      <c r="D38" s="328" t="s">
        <v>338</v>
      </c>
      <c r="E38" s="328" t="s">
        <v>345</v>
      </c>
      <c r="F38" s="240">
        <v>695298</v>
      </c>
      <c r="G38" s="240">
        <v>442162</v>
      </c>
      <c r="H38" s="240">
        <v>63369</v>
      </c>
      <c r="I38" s="283"/>
      <c r="J38" s="285">
        <v>0.1</v>
      </c>
      <c r="K38" s="284">
        <v>1200830</v>
      </c>
      <c r="L38" s="240">
        <v>38235862</v>
      </c>
      <c r="M38" s="240">
        <v>141099396</v>
      </c>
      <c r="N38" s="240">
        <v>57626734</v>
      </c>
      <c r="O38" s="240">
        <v>64696099</v>
      </c>
      <c r="P38" s="240">
        <v>95862596</v>
      </c>
      <c r="Q38" s="240"/>
      <c r="R38" s="240">
        <v>205795495</v>
      </c>
      <c r="S38" s="240">
        <v>29598012</v>
      </c>
      <c r="T38" s="283"/>
      <c r="U38" s="295">
        <v>12</v>
      </c>
      <c r="V38" s="284">
        <v>331256104</v>
      </c>
      <c r="W38" s="240">
        <v>332456935</v>
      </c>
      <c r="X38" s="240">
        <v>110868385</v>
      </c>
      <c r="Y38" s="290">
        <v>33.35</v>
      </c>
      <c r="Z38" s="301" t="s">
        <v>365</v>
      </c>
      <c r="AA38" s="240">
        <v>7555</v>
      </c>
      <c r="AB38" s="4" t="s">
        <v>444</v>
      </c>
      <c r="AC38" s="240">
        <v>63</v>
      </c>
      <c r="AD38" s="4"/>
      <c r="AE38" s="240"/>
      <c r="AF38" s="4"/>
      <c r="AG38" s="240"/>
      <c r="AH38" s="240">
        <v>44004</v>
      </c>
      <c r="AI38" s="240">
        <v>5277094</v>
      </c>
      <c r="AJ38" s="240" t="s">
        <v>440</v>
      </c>
      <c r="AK38" s="240" t="s">
        <v>440</v>
      </c>
      <c r="AL38" s="240">
        <v>2</v>
      </c>
      <c r="AM38" s="240">
        <v>908352</v>
      </c>
      <c r="AN38" s="240">
        <v>27475779</v>
      </c>
      <c r="AO38" s="240"/>
      <c r="AP38" s="302"/>
      <c r="AQ38" s="302">
        <v>29.04</v>
      </c>
      <c r="AR38" s="554" t="s">
        <v>149</v>
      </c>
    </row>
    <row r="39" spans="1:44" ht="22.5" customHeight="1" x14ac:dyDescent="0.15">
      <c r="A39">
        <v>34</v>
      </c>
      <c r="B39" s="328" t="s">
        <v>102</v>
      </c>
      <c r="C39" s="327" t="s">
        <v>431</v>
      </c>
      <c r="D39" s="328" t="s">
        <v>338</v>
      </c>
      <c r="E39" s="328" t="s">
        <v>345</v>
      </c>
      <c r="F39" s="240"/>
      <c r="G39" s="240"/>
      <c r="H39" s="240"/>
      <c r="I39" s="283"/>
      <c r="J39" s="285"/>
      <c r="K39" s="284"/>
      <c r="L39" s="240">
        <v>1716416265</v>
      </c>
      <c r="M39" s="240">
        <v>3028530172</v>
      </c>
      <c r="N39" s="240">
        <v>1001847202</v>
      </c>
      <c r="O39" s="240">
        <v>633998750</v>
      </c>
      <c r="P39" s="240">
        <v>2718263467</v>
      </c>
      <c r="Q39" s="240"/>
      <c r="R39" s="240">
        <v>3662528922</v>
      </c>
      <c r="S39" s="240">
        <v>1056922026</v>
      </c>
      <c r="T39" s="283">
        <v>3145638</v>
      </c>
      <c r="U39" s="288">
        <v>238</v>
      </c>
      <c r="V39" s="284">
        <v>7440860055</v>
      </c>
      <c r="W39" s="240">
        <v>7440860055</v>
      </c>
      <c r="X39" s="240">
        <v>1850600129</v>
      </c>
      <c r="Y39" s="290">
        <v>24.87</v>
      </c>
      <c r="Z39" s="5" t="s">
        <v>445</v>
      </c>
      <c r="AA39" s="240">
        <v>4652358</v>
      </c>
      <c r="AB39" s="4" t="s">
        <v>446</v>
      </c>
      <c r="AC39" s="240">
        <v>309</v>
      </c>
      <c r="AD39" s="4"/>
      <c r="AE39" s="240"/>
      <c r="AF39" s="4"/>
      <c r="AG39" s="240"/>
      <c r="AH39" s="240">
        <v>1599</v>
      </c>
      <c r="AI39" s="240">
        <v>24080453</v>
      </c>
      <c r="AJ39" s="240" t="s">
        <v>440</v>
      </c>
      <c r="AK39" s="240" t="s">
        <v>440</v>
      </c>
      <c r="AL39" s="240">
        <v>58</v>
      </c>
      <c r="AM39" s="240">
        <v>20330218</v>
      </c>
      <c r="AN39" s="240">
        <v>31264117</v>
      </c>
      <c r="AO39" s="241"/>
      <c r="AP39" s="302"/>
      <c r="AQ39" s="302">
        <v>36.53</v>
      </c>
      <c r="AR39" s="554" t="s">
        <v>149</v>
      </c>
    </row>
    <row r="40" spans="1:44" ht="22.5" customHeight="1" x14ac:dyDescent="0.15">
      <c r="A40">
        <v>35</v>
      </c>
      <c r="B40" s="328" t="s">
        <v>102</v>
      </c>
      <c r="C40" s="327" t="s">
        <v>435</v>
      </c>
      <c r="D40" s="328" t="s">
        <v>338</v>
      </c>
      <c r="E40" s="328" t="s">
        <v>345</v>
      </c>
      <c r="F40" s="240"/>
      <c r="G40" s="240"/>
      <c r="H40" s="240"/>
      <c r="I40" s="283"/>
      <c r="J40" s="285"/>
      <c r="K40" s="284"/>
      <c r="L40" s="240">
        <v>146263578</v>
      </c>
      <c r="M40" s="240">
        <v>66208215</v>
      </c>
      <c r="N40" s="240"/>
      <c r="O40" s="240"/>
      <c r="P40" s="240">
        <v>146263578</v>
      </c>
      <c r="Q40" s="240"/>
      <c r="R40" s="240">
        <v>66208215</v>
      </c>
      <c r="S40" s="240">
        <v>25593989</v>
      </c>
      <c r="T40" s="283"/>
      <c r="U40" s="288">
        <v>16.899999999999999</v>
      </c>
      <c r="V40" s="284">
        <v>238065782</v>
      </c>
      <c r="W40" s="240">
        <v>238065782</v>
      </c>
      <c r="X40" s="240">
        <v>4403589</v>
      </c>
      <c r="Y40" s="290">
        <v>1.85</v>
      </c>
      <c r="Z40" s="494" t="s">
        <v>375</v>
      </c>
      <c r="AA40" s="240">
        <v>11</v>
      </c>
      <c r="AB40" s="4"/>
      <c r="AC40" s="240"/>
      <c r="AD40" s="4"/>
      <c r="AE40" s="240"/>
      <c r="AF40" s="4"/>
      <c r="AG40" s="240"/>
      <c r="AH40" s="240">
        <v>21642343</v>
      </c>
      <c r="AI40" s="240" t="s">
        <v>440</v>
      </c>
      <c r="AJ40" s="240" t="s">
        <v>440</v>
      </c>
      <c r="AK40" s="240" t="s">
        <v>440</v>
      </c>
      <c r="AL40" s="240">
        <v>1</v>
      </c>
      <c r="AM40" s="240">
        <v>650452</v>
      </c>
      <c r="AN40" s="240">
        <v>14086732</v>
      </c>
      <c r="AO40" s="241"/>
      <c r="AP40" s="302"/>
      <c r="AQ40" s="302">
        <v>61.44</v>
      </c>
      <c r="AR40" s="554" t="s">
        <v>149</v>
      </c>
    </row>
    <row r="41" spans="1:44" s="482" customFormat="1" ht="22.5" customHeight="1" x14ac:dyDescent="0.15">
      <c r="A41" s="6">
        <v>36</v>
      </c>
      <c r="B41" s="328" t="s">
        <v>102</v>
      </c>
      <c r="C41" s="327" t="s">
        <v>436</v>
      </c>
      <c r="D41" s="328" t="s">
        <v>338</v>
      </c>
      <c r="E41" s="328" t="s">
        <v>345</v>
      </c>
      <c r="F41" s="298"/>
      <c r="G41" s="298"/>
      <c r="H41" s="298"/>
      <c r="I41" s="483"/>
      <c r="J41" s="484"/>
      <c r="K41" s="485"/>
      <c r="L41" s="298">
        <v>128394272</v>
      </c>
      <c r="M41" s="298">
        <v>104874057</v>
      </c>
      <c r="N41" s="298"/>
      <c r="O41" s="298"/>
      <c r="P41" s="298">
        <v>128394272</v>
      </c>
      <c r="Q41" s="298"/>
      <c r="R41" s="298">
        <v>104874057</v>
      </c>
      <c r="S41" s="298">
        <v>18021803</v>
      </c>
      <c r="T41" s="483"/>
      <c r="U41" s="486">
        <v>11.9</v>
      </c>
      <c r="V41" s="485">
        <v>251290132</v>
      </c>
      <c r="W41" s="298">
        <v>251290132</v>
      </c>
      <c r="X41" s="298"/>
      <c r="Y41" s="487"/>
      <c r="Z41" s="598" t="s">
        <v>447</v>
      </c>
      <c r="AA41" s="298">
        <v>6</v>
      </c>
      <c r="AB41" s="489"/>
      <c r="AC41" s="298"/>
      <c r="AD41" s="489"/>
      <c r="AE41" s="298"/>
      <c r="AF41" s="489"/>
      <c r="AG41" s="298"/>
      <c r="AH41" s="298">
        <v>41881688</v>
      </c>
      <c r="AI41" s="298" t="s">
        <v>440</v>
      </c>
      <c r="AJ41" s="298" t="s">
        <v>440</v>
      </c>
      <c r="AK41" s="298" t="s">
        <v>440</v>
      </c>
      <c r="AL41" s="298">
        <v>1</v>
      </c>
      <c r="AM41" s="298">
        <v>686585</v>
      </c>
      <c r="AN41" s="298">
        <v>21116817</v>
      </c>
      <c r="AO41" s="492"/>
      <c r="AP41" s="493"/>
      <c r="AQ41" s="493">
        <v>51.09</v>
      </c>
      <c r="AR41" s="554" t="s">
        <v>149</v>
      </c>
    </row>
    <row r="42" spans="1:44" ht="22.5" customHeight="1" x14ac:dyDescent="0.15">
      <c r="A42">
        <v>37</v>
      </c>
      <c r="B42" s="328" t="s">
        <v>102</v>
      </c>
      <c r="C42" s="327" t="s">
        <v>432</v>
      </c>
      <c r="D42" s="328" t="s">
        <v>338</v>
      </c>
      <c r="E42" s="328" t="s">
        <v>345</v>
      </c>
      <c r="F42" s="240"/>
      <c r="G42" s="240"/>
      <c r="H42" s="240"/>
      <c r="I42" s="283"/>
      <c r="J42" s="287"/>
      <c r="K42" s="284"/>
      <c r="L42" s="240">
        <v>3064606</v>
      </c>
      <c r="M42" s="240">
        <v>19211229</v>
      </c>
      <c r="N42" s="240">
        <v>2012571</v>
      </c>
      <c r="O42" s="240">
        <v>2290994</v>
      </c>
      <c r="P42" s="240">
        <v>5077177</v>
      </c>
      <c r="Q42" s="240"/>
      <c r="R42" s="240">
        <v>21502224</v>
      </c>
      <c r="S42" s="240"/>
      <c r="T42" s="283"/>
      <c r="U42" s="288">
        <v>0.4</v>
      </c>
      <c r="V42" s="284">
        <v>26579402</v>
      </c>
      <c r="W42" s="240">
        <v>26579402</v>
      </c>
      <c r="X42" s="240"/>
      <c r="Y42" s="290"/>
      <c r="Z42" s="494" t="s">
        <v>606</v>
      </c>
      <c r="AA42" s="240">
        <v>1</v>
      </c>
      <c r="AB42" s="497"/>
      <c r="AC42" s="240"/>
      <c r="AD42" s="4"/>
      <c r="AE42" s="240"/>
      <c r="AF42" s="4"/>
      <c r="AG42" s="240"/>
      <c r="AH42" s="240">
        <v>26579402</v>
      </c>
      <c r="AI42" s="240" t="s">
        <v>440</v>
      </c>
      <c r="AJ42" s="240" t="s">
        <v>440</v>
      </c>
      <c r="AK42" s="240" t="s">
        <v>440</v>
      </c>
      <c r="AL42" s="310">
        <v>0.2</v>
      </c>
      <c r="AM42" s="240">
        <v>72621</v>
      </c>
      <c r="AN42" s="240"/>
      <c r="AO42" s="240"/>
      <c r="AP42" s="302"/>
      <c r="AQ42" s="302">
        <v>19.100000000000001</v>
      </c>
      <c r="AR42" s="554" t="s">
        <v>149</v>
      </c>
    </row>
    <row r="43" spans="1:44" ht="22.5" customHeight="1" x14ac:dyDescent="0.15">
      <c r="A43">
        <v>38</v>
      </c>
      <c r="B43" s="351" t="s">
        <v>102</v>
      </c>
      <c r="C43" s="351" t="s">
        <v>433</v>
      </c>
      <c r="D43" s="351" t="s">
        <v>338</v>
      </c>
      <c r="E43" s="351" t="s">
        <v>345</v>
      </c>
      <c r="F43" s="240">
        <v>187730704</v>
      </c>
      <c r="G43" s="240">
        <v>154122691</v>
      </c>
      <c r="H43" s="240">
        <v>23847263</v>
      </c>
      <c r="I43" s="283"/>
      <c r="J43" s="285">
        <v>27</v>
      </c>
      <c r="K43" s="284">
        <v>365700658</v>
      </c>
      <c r="L43" s="298">
        <v>1537265725680</v>
      </c>
      <c r="M43" s="298">
        <v>1557469404998</v>
      </c>
      <c r="N43" s="240"/>
      <c r="O43" s="240">
        <v>116773335929</v>
      </c>
      <c r="P43" s="298">
        <v>1537265725680</v>
      </c>
      <c r="Q43" s="298">
        <v>877266834</v>
      </c>
      <c r="R43" s="298">
        <v>1674242740927</v>
      </c>
      <c r="S43" s="240">
        <v>127094437082</v>
      </c>
      <c r="T43" s="283">
        <v>3556937505</v>
      </c>
      <c r="U43" s="285">
        <v>278850</v>
      </c>
      <c r="V43" s="485">
        <v>3343037108028</v>
      </c>
      <c r="W43" s="298">
        <v>3343402808686</v>
      </c>
      <c r="X43" s="298">
        <v>1995232454257</v>
      </c>
      <c r="Y43" s="290">
        <v>59.68</v>
      </c>
      <c r="Z43" s="5"/>
      <c r="AA43" s="240"/>
      <c r="AB43" s="498"/>
      <c r="AC43" s="240"/>
      <c r="AD43" s="4"/>
      <c r="AE43" s="240"/>
      <c r="AF43" s="4"/>
      <c r="AG43" s="240"/>
      <c r="AH43" s="240" t="s">
        <v>440</v>
      </c>
      <c r="AI43" s="240" t="s">
        <v>440</v>
      </c>
      <c r="AJ43" s="240" t="s">
        <v>440</v>
      </c>
      <c r="AK43" s="240" t="s">
        <v>440</v>
      </c>
      <c r="AL43" s="240">
        <v>26499</v>
      </c>
      <c r="AM43" s="240">
        <v>9134980351</v>
      </c>
      <c r="AN43" s="240">
        <v>11988808</v>
      </c>
      <c r="AO43" s="241"/>
      <c r="AP43" s="302"/>
      <c r="AQ43" s="302">
        <v>46.01</v>
      </c>
      <c r="AR43" s="491" t="s">
        <v>149</v>
      </c>
    </row>
    <row r="44" spans="1:44" ht="22.5" customHeight="1" x14ac:dyDescent="0.15">
      <c r="A44" s="6">
        <v>39</v>
      </c>
      <c r="B44" s="328" t="s">
        <v>102</v>
      </c>
      <c r="C44" s="327" t="s">
        <v>438</v>
      </c>
      <c r="D44" s="328" t="s">
        <v>338</v>
      </c>
      <c r="E44" s="328" t="s">
        <v>345</v>
      </c>
      <c r="F44" s="240">
        <v>417179</v>
      </c>
      <c r="G44" s="240">
        <v>357516</v>
      </c>
      <c r="H44" s="240">
        <v>62594</v>
      </c>
      <c r="I44" s="283"/>
      <c r="J44" s="287">
        <v>0.06</v>
      </c>
      <c r="K44" s="284">
        <v>837289</v>
      </c>
      <c r="L44" s="240">
        <v>197522863</v>
      </c>
      <c r="M44" s="240">
        <v>5639645617</v>
      </c>
      <c r="N44" s="240">
        <v>8945654</v>
      </c>
      <c r="O44" s="240">
        <v>13961007</v>
      </c>
      <c r="P44" s="240">
        <v>206468517</v>
      </c>
      <c r="Q44" s="240"/>
      <c r="R44" s="240">
        <v>5653606624</v>
      </c>
      <c r="S44" s="240">
        <v>37356407</v>
      </c>
      <c r="T44" s="283"/>
      <c r="U44" s="288">
        <v>20.399999999999999</v>
      </c>
      <c r="V44" s="284">
        <v>5897431550</v>
      </c>
      <c r="W44" s="240">
        <v>5898268839</v>
      </c>
      <c r="X44" s="240">
        <v>1647000</v>
      </c>
      <c r="Y44" s="290">
        <v>0.03</v>
      </c>
      <c r="Z44" s="494" t="s">
        <v>357</v>
      </c>
      <c r="AA44" s="240">
        <v>1214</v>
      </c>
      <c r="AB44" s="498" t="s">
        <v>368</v>
      </c>
      <c r="AC44" s="240">
        <v>6135</v>
      </c>
      <c r="AD44" s="4"/>
      <c r="AE44" s="240"/>
      <c r="AF44" s="4"/>
      <c r="AG44" s="240"/>
      <c r="AH44" s="240">
        <v>4858541</v>
      </c>
      <c r="AI44" s="240">
        <v>961413</v>
      </c>
      <c r="AJ44" s="240" t="s">
        <v>440</v>
      </c>
      <c r="AK44" s="240" t="s">
        <v>440</v>
      </c>
      <c r="AL44" s="240">
        <v>46</v>
      </c>
      <c r="AM44" s="240">
        <v>16115488</v>
      </c>
      <c r="AN44" s="240">
        <v>288282934</v>
      </c>
      <c r="AO44" s="240"/>
      <c r="AP44" s="302"/>
      <c r="AQ44" s="302">
        <v>3.51</v>
      </c>
      <c r="AR44" s="554" t="s">
        <v>149</v>
      </c>
    </row>
    <row r="45" spans="1:44" ht="22.5" customHeight="1" x14ac:dyDescent="0.15">
      <c r="A45">
        <v>40</v>
      </c>
      <c r="B45" s="328" t="s">
        <v>102</v>
      </c>
      <c r="C45" s="327" t="s">
        <v>462</v>
      </c>
      <c r="D45" s="328" t="s">
        <v>338</v>
      </c>
      <c r="E45" s="328" t="s">
        <v>345</v>
      </c>
      <c r="F45" s="240">
        <v>625769</v>
      </c>
      <c r="G45" s="240">
        <v>536274</v>
      </c>
      <c r="H45" s="240">
        <v>93891</v>
      </c>
      <c r="I45" s="283"/>
      <c r="J45" s="287">
        <v>0.09</v>
      </c>
      <c r="K45" s="284">
        <v>1255934</v>
      </c>
      <c r="L45" s="240">
        <v>88514106</v>
      </c>
      <c r="M45" s="240">
        <v>8740696430</v>
      </c>
      <c r="N45" s="240">
        <v>3946612</v>
      </c>
      <c r="O45" s="240">
        <v>6159268</v>
      </c>
      <c r="P45" s="240">
        <v>92460718</v>
      </c>
      <c r="Q45" s="240"/>
      <c r="R45" s="240">
        <v>8746855698</v>
      </c>
      <c r="S45" s="240">
        <v>16480768</v>
      </c>
      <c r="T45" s="283"/>
      <c r="U45" s="288">
        <v>9</v>
      </c>
      <c r="V45" s="284">
        <v>8855797184</v>
      </c>
      <c r="W45" s="240">
        <v>8857053118</v>
      </c>
      <c r="X45" s="240">
        <v>396562875</v>
      </c>
      <c r="Y45" s="290">
        <v>4.4800000000000004</v>
      </c>
      <c r="Z45" s="502" t="s">
        <v>357</v>
      </c>
      <c r="AA45" s="240">
        <v>15970</v>
      </c>
      <c r="AB45" s="4" t="s">
        <v>368</v>
      </c>
      <c r="AC45" s="240">
        <v>5280</v>
      </c>
      <c r="AD45" s="4"/>
      <c r="AE45" s="240"/>
      <c r="AF45" s="4"/>
      <c r="AG45" s="240"/>
      <c r="AH45" s="240">
        <v>554605</v>
      </c>
      <c r="AI45" s="240">
        <v>1677472</v>
      </c>
      <c r="AJ45" s="240" t="s">
        <v>440</v>
      </c>
      <c r="AK45" s="240" t="s">
        <v>440</v>
      </c>
      <c r="AL45" s="240">
        <v>70</v>
      </c>
      <c r="AM45" s="240">
        <v>24199598</v>
      </c>
      <c r="AN45" s="240">
        <v>974373280</v>
      </c>
      <c r="AO45" s="240"/>
      <c r="AP45" s="302"/>
      <c r="AQ45" s="302">
        <v>1.05</v>
      </c>
      <c r="AR45" s="554" t="s">
        <v>149</v>
      </c>
    </row>
    <row r="46" spans="1:44" ht="22.5" customHeight="1" x14ac:dyDescent="0.15">
      <c r="A46">
        <v>41</v>
      </c>
      <c r="B46" s="328" t="s">
        <v>102</v>
      </c>
      <c r="C46" s="327" t="s">
        <v>352</v>
      </c>
      <c r="D46" s="328" t="s">
        <v>338</v>
      </c>
      <c r="E46" s="328" t="s">
        <v>345</v>
      </c>
      <c r="F46" s="240">
        <v>1390597</v>
      </c>
      <c r="G46" s="240">
        <v>1912847</v>
      </c>
      <c r="H46" s="240">
        <v>465686</v>
      </c>
      <c r="I46" s="283"/>
      <c r="J46" s="285">
        <v>0.2</v>
      </c>
      <c r="K46" s="284">
        <v>3769131</v>
      </c>
      <c r="L46" s="240">
        <v>464420970</v>
      </c>
      <c r="M46" s="240">
        <v>1675684389</v>
      </c>
      <c r="N46" s="240">
        <v>149585990</v>
      </c>
      <c r="O46" s="240">
        <v>183992548</v>
      </c>
      <c r="P46" s="240">
        <v>614006960</v>
      </c>
      <c r="Q46" s="240"/>
      <c r="R46" s="240">
        <v>1859676937</v>
      </c>
      <c r="S46" s="240">
        <v>202899584</v>
      </c>
      <c r="T46" s="283">
        <v>5818</v>
      </c>
      <c r="U46" s="288">
        <v>31.4</v>
      </c>
      <c r="V46" s="284">
        <v>2676589299</v>
      </c>
      <c r="W46" s="240">
        <v>2680358431</v>
      </c>
      <c r="X46" s="240">
        <v>1377185390</v>
      </c>
      <c r="Y46" s="290">
        <v>51.38</v>
      </c>
      <c r="Z46" s="5" t="s">
        <v>448</v>
      </c>
      <c r="AA46" s="240">
        <v>3700442</v>
      </c>
      <c r="AB46" s="4" t="s">
        <v>449</v>
      </c>
      <c r="AC46" s="240">
        <v>3143</v>
      </c>
      <c r="AD46" s="4"/>
      <c r="AE46" s="240"/>
      <c r="AF46" s="4"/>
      <c r="AG46" s="240"/>
      <c r="AH46" s="240">
        <v>724</v>
      </c>
      <c r="AI46" s="240">
        <v>852802</v>
      </c>
      <c r="AJ46" s="240" t="s">
        <v>440</v>
      </c>
      <c r="AK46" s="240" t="s">
        <v>440</v>
      </c>
      <c r="AL46" s="240">
        <v>21</v>
      </c>
      <c r="AM46" s="240">
        <v>7323383</v>
      </c>
      <c r="AN46" s="240">
        <v>84821469</v>
      </c>
      <c r="AO46" s="240"/>
      <c r="AP46" s="302"/>
      <c r="AQ46" s="302">
        <v>22.96</v>
      </c>
      <c r="AR46" s="554" t="s">
        <v>149</v>
      </c>
    </row>
    <row r="47" spans="1:44" ht="23.25" customHeight="1" x14ac:dyDescent="0.15">
      <c r="A47" s="6">
        <v>42</v>
      </c>
      <c r="B47" s="328" t="s">
        <v>102</v>
      </c>
      <c r="C47" s="327" t="s">
        <v>353</v>
      </c>
      <c r="D47" s="328" t="s">
        <v>338</v>
      </c>
      <c r="E47" s="328" t="s">
        <v>345</v>
      </c>
      <c r="F47" s="240">
        <v>1390597</v>
      </c>
      <c r="G47" s="240">
        <v>1912847</v>
      </c>
      <c r="H47" s="240">
        <v>465686</v>
      </c>
      <c r="I47" s="283"/>
      <c r="J47" s="285">
        <v>0.2</v>
      </c>
      <c r="K47" s="284">
        <v>3769131</v>
      </c>
      <c r="L47" s="240">
        <v>906516690</v>
      </c>
      <c r="M47" s="240">
        <v>2452045395</v>
      </c>
      <c r="N47" s="240">
        <v>187399476</v>
      </c>
      <c r="O47" s="240">
        <v>281763484</v>
      </c>
      <c r="P47" s="240">
        <v>1093916166</v>
      </c>
      <c r="Q47" s="240"/>
      <c r="R47" s="240">
        <v>2733808879</v>
      </c>
      <c r="S47" s="240">
        <v>651305117</v>
      </c>
      <c r="T47" s="283"/>
      <c r="U47" s="288">
        <v>75</v>
      </c>
      <c r="V47" s="284">
        <v>4479030163</v>
      </c>
      <c r="W47" s="240">
        <v>4482799294</v>
      </c>
      <c r="X47" s="240">
        <v>1582764216</v>
      </c>
      <c r="Y47" s="290">
        <v>35.31</v>
      </c>
      <c r="Z47" s="5" t="s">
        <v>448</v>
      </c>
      <c r="AA47" s="240">
        <v>4358044</v>
      </c>
      <c r="AB47" s="4" t="s">
        <v>367</v>
      </c>
      <c r="AC47" s="240">
        <v>282</v>
      </c>
      <c r="AD47" s="4"/>
      <c r="AE47" s="240"/>
      <c r="AF47" s="4"/>
      <c r="AG47" s="240"/>
      <c r="AH47" s="240">
        <v>1028</v>
      </c>
      <c r="AI47" s="240">
        <v>15896451</v>
      </c>
      <c r="AJ47" s="240" t="s">
        <v>440</v>
      </c>
      <c r="AK47" s="240" t="s">
        <v>440</v>
      </c>
      <c r="AL47" s="240">
        <v>35</v>
      </c>
      <c r="AM47" s="240">
        <v>12248085</v>
      </c>
      <c r="AN47" s="240">
        <v>59611692</v>
      </c>
      <c r="AO47" s="241"/>
      <c r="AP47" s="302"/>
      <c r="AQ47" s="302">
        <v>24.43</v>
      </c>
      <c r="AR47" s="554" t="s">
        <v>149</v>
      </c>
    </row>
    <row r="48" spans="1:44" ht="22.5" customHeight="1" x14ac:dyDescent="0.15">
      <c r="A48">
        <v>43</v>
      </c>
      <c r="B48" s="323" t="s">
        <v>102</v>
      </c>
      <c r="C48" s="324" t="s">
        <v>103</v>
      </c>
      <c r="D48" s="325" t="s">
        <v>87</v>
      </c>
      <c r="E48" s="326" t="s">
        <v>38</v>
      </c>
      <c r="F48" s="240">
        <v>13905978</v>
      </c>
      <c r="G48" s="240">
        <v>10934108</v>
      </c>
      <c r="H48" s="240">
        <v>1691824</v>
      </c>
      <c r="I48" s="283"/>
      <c r="J48" s="285">
        <v>2</v>
      </c>
      <c r="K48" s="284">
        <v>26531911</v>
      </c>
      <c r="L48" s="240">
        <v>2156461849</v>
      </c>
      <c r="M48" s="240">
        <v>64899802704</v>
      </c>
      <c r="N48" s="240">
        <v>543119816</v>
      </c>
      <c r="O48" s="240">
        <v>629746923</v>
      </c>
      <c r="P48" s="240">
        <v>2699581665</v>
      </c>
      <c r="Q48" s="240"/>
      <c r="R48" s="240">
        <v>65529549627</v>
      </c>
      <c r="S48" s="240"/>
      <c r="T48" s="283"/>
      <c r="U48" s="288">
        <v>300</v>
      </c>
      <c r="V48" s="284">
        <v>68229131292</v>
      </c>
      <c r="W48" s="240">
        <v>68255663203</v>
      </c>
      <c r="X48" s="240">
        <v>33950134428</v>
      </c>
      <c r="Y48" s="290">
        <v>49.74</v>
      </c>
      <c r="Z48" s="501" t="s">
        <v>242</v>
      </c>
      <c r="AA48" s="240">
        <v>6056550</v>
      </c>
      <c r="AB48" s="4"/>
      <c r="AC48" s="240"/>
      <c r="AD48" s="4"/>
      <c r="AE48" s="240"/>
      <c r="AF48" s="4"/>
      <c r="AG48" s="240"/>
      <c r="AH48" s="240">
        <v>11269</v>
      </c>
      <c r="AI48" s="240" t="s">
        <v>440</v>
      </c>
      <c r="AJ48" s="240" t="s">
        <v>440</v>
      </c>
      <c r="AK48" s="240" t="s">
        <v>440</v>
      </c>
      <c r="AL48" s="240">
        <v>540</v>
      </c>
      <c r="AM48" s="240">
        <v>186490883</v>
      </c>
      <c r="AN48" s="240">
        <v>226012129</v>
      </c>
      <c r="AO48" s="241">
        <v>1814867569653</v>
      </c>
      <c r="AP48" s="302">
        <v>3.76</v>
      </c>
      <c r="AQ48" s="302">
        <v>3.98</v>
      </c>
      <c r="AR48" s="554" t="s">
        <v>151</v>
      </c>
    </row>
    <row r="49" spans="1:44" ht="22.5" customHeight="1" x14ac:dyDescent="0.15">
      <c r="A49">
        <v>44</v>
      </c>
      <c r="B49" s="323" t="s">
        <v>104</v>
      </c>
      <c r="C49" s="324" t="s">
        <v>105</v>
      </c>
      <c r="D49" s="325" t="s">
        <v>35</v>
      </c>
      <c r="E49" s="326" t="s">
        <v>36</v>
      </c>
      <c r="F49" s="240">
        <v>2756860153</v>
      </c>
      <c r="G49" s="240">
        <v>297142208</v>
      </c>
      <c r="H49" s="240">
        <v>124112922</v>
      </c>
      <c r="I49" s="283">
        <v>2841797484</v>
      </c>
      <c r="J49" s="285">
        <v>396.5</v>
      </c>
      <c r="K49" s="284">
        <v>6019912769</v>
      </c>
      <c r="L49" s="240"/>
      <c r="M49" s="240"/>
      <c r="N49" s="240"/>
      <c r="O49" s="240"/>
      <c r="P49" s="240"/>
      <c r="Q49" s="240"/>
      <c r="R49" s="240"/>
      <c r="S49" s="240"/>
      <c r="T49" s="283"/>
      <c r="U49" s="288"/>
      <c r="V49" s="284"/>
      <c r="W49" s="240">
        <v>6019912769</v>
      </c>
      <c r="X49" s="240">
        <v>170119550</v>
      </c>
      <c r="Y49" s="290">
        <v>2.83</v>
      </c>
      <c r="Z49" s="327" t="s">
        <v>607</v>
      </c>
      <c r="AA49" s="240">
        <v>58523285</v>
      </c>
      <c r="AB49" s="4"/>
      <c r="AC49" s="240"/>
      <c r="AD49" s="4"/>
      <c r="AE49" s="240"/>
      <c r="AF49" s="4"/>
      <c r="AG49" s="240"/>
      <c r="AH49" s="240">
        <v>102</v>
      </c>
      <c r="AI49" s="240" t="s">
        <v>440</v>
      </c>
      <c r="AJ49" s="240" t="s">
        <v>440</v>
      </c>
      <c r="AK49" s="240" t="s">
        <v>440</v>
      </c>
      <c r="AL49" s="240">
        <v>47</v>
      </c>
      <c r="AM49" s="240">
        <v>16447849</v>
      </c>
      <c r="AN49" s="240">
        <v>15182629</v>
      </c>
      <c r="AO49" s="241"/>
      <c r="AP49" s="302"/>
      <c r="AQ49" s="302">
        <v>45.8</v>
      </c>
      <c r="AR49" s="554" t="s">
        <v>148</v>
      </c>
    </row>
    <row r="50" spans="1:44" ht="22.5" customHeight="1" x14ac:dyDescent="0.15">
      <c r="A50" s="6">
        <v>45</v>
      </c>
      <c r="B50" s="328" t="s">
        <v>104</v>
      </c>
      <c r="C50" s="327" t="s">
        <v>351</v>
      </c>
      <c r="D50" s="328" t="s">
        <v>338</v>
      </c>
      <c r="E50" s="328" t="s">
        <v>339</v>
      </c>
      <c r="F50" s="240">
        <v>14601276</v>
      </c>
      <c r="G50" s="240">
        <v>9594996</v>
      </c>
      <c r="H50" s="240">
        <v>3029685</v>
      </c>
      <c r="I50" s="283">
        <v>126085213</v>
      </c>
      <c r="J50" s="285">
        <v>2.1</v>
      </c>
      <c r="K50" s="284">
        <v>153311171</v>
      </c>
      <c r="L50" s="240"/>
      <c r="M50" s="240"/>
      <c r="N50" s="240"/>
      <c r="O50" s="240"/>
      <c r="P50" s="240"/>
      <c r="Q50" s="240"/>
      <c r="R50" s="240"/>
      <c r="S50" s="240"/>
      <c r="T50" s="283"/>
      <c r="U50" s="288"/>
      <c r="V50" s="284"/>
      <c r="W50" s="240">
        <v>153311171</v>
      </c>
      <c r="X50" s="240">
        <v>107338000</v>
      </c>
      <c r="Y50" s="290">
        <v>70.010000000000005</v>
      </c>
      <c r="Z50" s="494" t="s">
        <v>485</v>
      </c>
      <c r="AA50" s="240">
        <v>15785</v>
      </c>
      <c r="AB50" s="299" t="s">
        <v>374</v>
      </c>
      <c r="AC50" s="240">
        <v>14311</v>
      </c>
      <c r="AD50" s="4"/>
      <c r="AE50" s="240"/>
      <c r="AF50" s="4"/>
      <c r="AG50" s="240"/>
      <c r="AH50" s="240">
        <v>9712</v>
      </c>
      <c r="AI50" s="240">
        <v>10712</v>
      </c>
      <c r="AJ50" s="240" t="s">
        <v>440</v>
      </c>
      <c r="AK50" s="240" t="s">
        <v>440</v>
      </c>
      <c r="AL50" s="240">
        <v>1</v>
      </c>
      <c r="AM50" s="240">
        <v>418882</v>
      </c>
      <c r="AN50" s="240">
        <v>73005319</v>
      </c>
      <c r="AO50" s="241"/>
      <c r="AP50" s="302"/>
      <c r="AQ50" s="302">
        <v>9.52</v>
      </c>
      <c r="AR50" s="554" t="s">
        <v>148</v>
      </c>
    </row>
    <row r="51" spans="1:44" ht="22.5" customHeight="1" x14ac:dyDescent="0.15">
      <c r="A51">
        <v>46</v>
      </c>
      <c r="B51" s="323" t="s">
        <v>104</v>
      </c>
      <c r="C51" s="324" t="s">
        <v>225</v>
      </c>
      <c r="D51" s="325" t="s">
        <v>35</v>
      </c>
      <c r="E51" s="326" t="s">
        <v>36</v>
      </c>
      <c r="F51" s="240">
        <v>1390597</v>
      </c>
      <c r="G51" s="240">
        <v>1042384</v>
      </c>
      <c r="H51" s="240">
        <v>342676</v>
      </c>
      <c r="I51" s="283">
        <v>53671720</v>
      </c>
      <c r="J51" s="285">
        <v>0.2</v>
      </c>
      <c r="K51" s="284">
        <v>56447378</v>
      </c>
      <c r="L51" s="240"/>
      <c r="M51" s="240"/>
      <c r="N51" s="240"/>
      <c r="O51" s="240"/>
      <c r="P51" s="240"/>
      <c r="Q51" s="240"/>
      <c r="R51" s="240"/>
      <c r="S51" s="240"/>
      <c r="T51" s="283"/>
      <c r="U51" s="288"/>
      <c r="V51" s="284"/>
      <c r="W51" s="240">
        <v>56447378</v>
      </c>
      <c r="X51" s="240"/>
      <c r="Y51" s="290"/>
      <c r="Z51" s="294" t="s">
        <v>244</v>
      </c>
      <c r="AA51" s="240">
        <v>7082</v>
      </c>
      <c r="AB51" s="4"/>
      <c r="AC51" s="240"/>
      <c r="AD51" s="4"/>
      <c r="AE51" s="240"/>
      <c r="AF51" s="4"/>
      <c r="AG51" s="240"/>
      <c r="AH51" s="240">
        <v>7970</v>
      </c>
      <c r="AI51" s="240" t="s">
        <v>440</v>
      </c>
      <c r="AJ51" s="240" t="s">
        <v>440</v>
      </c>
      <c r="AK51" s="240" t="s">
        <v>440</v>
      </c>
      <c r="AL51" s="310">
        <v>0.4</v>
      </c>
      <c r="AM51" s="240">
        <v>154227</v>
      </c>
      <c r="AN51" s="240"/>
      <c r="AO51" s="241"/>
      <c r="AP51" s="302"/>
      <c r="AQ51" s="302">
        <v>2.46</v>
      </c>
      <c r="AR51" s="554" t="s">
        <v>148</v>
      </c>
    </row>
    <row r="52" spans="1:44" ht="22.5" customHeight="1" x14ac:dyDescent="0.15">
      <c r="A52">
        <v>47</v>
      </c>
      <c r="B52" s="323" t="s">
        <v>104</v>
      </c>
      <c r="C52" s="324" t="s">
        <v>193</v>
      </c>
      <c r="D52" s="325" t="s">
        <v>35</v>
      </c>
      <c r="E52" s="326" t="s">
        <v>38</v>
      </c>
      <c r="F52" s="240"/>
      <c r="G52" s="240"/>
      <c r="H52" s="240"/>
      <c r="I52" s="283"/>
      <c r="J52" s="285"/>
      <c r="K52" s="284"/>
      <c r="L52" s="240">
        <v>669184719</v>
      </c>
      <c r="M52" s="240">
        <v>502993358</v>
      </c>
      <c r="N52" s="240"/>
      <c r="O52" s="240"/>
      <c r="P52" s="240">
        <v>669184719</v>
      </c>
      <c r="Q52" s="240"/>
      <c r="R52" s="240">
        <v>502993358</v>
      </c>
      <c r="S52" s="240">
        <v>139816266</v>
      </c>
      <c r="T52" s="283"/>
      <c r="U52" s="288">
        <v>75</v>
      </c>
      <c r="V52" s="284">
        <v>1311994343</v>
      </c>
      <c r="W52" s="240">
        <v>1311994343</v>
      </c>
      <c r="X52" s="240">
        <v>296171241</v>
      </c>
      <c r="Y52" s="290">
        <v>22.57</v>
      </c>
      <c r="Z52" s="494" t="s">
        <v>245</v>
      </c>
      <c r="AA52" s="240">
        <v>451</v>
      </c>
      <c r="AB52" s="4"/>
      <c r="AC52" s="240"/>
      <c r="AD52" s="4"/>
      <c r="AE52" s="240"/>
      <c r="AF52" s="4"/>
      <c r="AG52" s="240"/>
      <c r="AH52" s="240">
        <v>2909078</v>
      </c>
      <c r="AI52" s="240" t="s">
        <v>440</v>
      </c>
      <c r="AJ52" s="240" t="s">
        <v>440</v>
      </c>
      <c r="AK52" s="240" t="s">
        <v>440</v>
      </c>
      <c r="AL52" s="240">
        <v>10</v>
      </c>
      <c r="AM52" s="240">
        <v>3584683</v>
      </c>
      <c r="AN52" s="240">
        <v>17493257</v>
      </c>
      <c r="AO52" s="240"/>
      <c r="AP52" s="302"/>
      <c r="AQ52" s="302">
        <v>51.01</v>
      </c>
      <c r="AR52" s="554" t="s">
        <v>149</v>
      </c>
    </row>
    <row r="53" spans="1:44" ht="22.5" customHeight="1" x14ac:dyDescent="0.15">
      <c r="A53" s="6">
        <v>48</v>
      </c>
      <c r="B53" s="323" t="s">
        <v>104</v>
      </c>
      <c r="C53" s="324" t="s">
        <v>108</v>
      </c>
      <c r="D53" s="325" t="s">
        <v>35</v>
      </c>
      <c r="E53" s="326" t="s">
        <v>38</v>
      </c>
      <c r="F53" s="240">
        <v>11124782</v>
      </c>
      <c r="G53" s="240">
        <v>9219164</v>
      </c>
      <c r="H53" s="240">
        <v>2911013</v>
      </c>
      <c r="I53" s="283"/>
      <c r="J53" s="285">
        <v>1.6</v>
      </c>
      <c r="K53" s="284">
        <v>23254960</v>
      </c>
      <c r="L53" s="240">
        <v>598770409</v>
      </c>
      <c r="M53" s="240">
        <v>894954824</v>
      </c>
      <c r="N53" s="240">
        <v>17103081</v>
      </c>
      <c r="O53" s="240">
        <v>23364354</v>
      </c>
      <c r="P53" s="240">
        <v>615873490</v>
      </c>
      <c r="Q53" s="240"/>
      <c r="R53" s="240">
        <v>918319178</v>
      </c>
      <c r="S53" s="240"/>
      <c r="T53" s="283"/>
      <c r="U53" s="288">
        <v>72</v>
      </c>
      <c r="V53" s="284">
        <v>1534192668</v>
      </c>
      <c r="W53" s="240">
        <v>1557447629</v>
      </c>
      <c r="X53" s="240">
        <v>1053371947</v>
      </c>
      <c r="Y53" s="290">
        <v>67.63</v>
      </c>
      <c r="Z53" s="293" t="s">
        <v>246</v>
      </c>
      <c r="AA53" s="240">
        <v>1232</v>
      </c>
      <c r="AB53" s="4"/>
      <c r="AC53" s="240"/>
      <c r="AD53" s="4"/>
      <c r="AE53" s="240"/>
      <c r="AF53" s="4"/>
      <c r="AG53" s="240"/>
      <c r="AH53" s="240">
        <v>1264162</v>
      </c>
      <c r="AI53" s="240" t="s">
        <v>440</v>
      </c>
      <c r="AJ53" s="240" t="s">
        <v>440</v>
      </c>
      <c r="AK53" s="240" t="s">
        <v>440</v>
      </c>
      <c r="AL53" s="240">
        <v>12</v>
      </c>
      <c r="AM53" s="240">
        <v>4255321</v>
      </c>
      <c r="AN53" s="240">
        <v>21160973</v>
      </c>
      <c r="AO53" s="240"/>
      <c r="AP53" s="302"/>
      <c r="AQ53" s="302">
        <v>40.26</v>
      </c>
      <c r="AR53" s="554" t="s">
        <v>149</v>
      </c>
    </row>
    <row r="54" spans="1:44" ht="22.5" customHeight="1" x14ac:dyDescent="0.15">
      <c r="A54">
        <v>49</v>
      </c>
      <c r="B54" s="323" t="s">
        <v>104</v>
      </c>
      <c r="C54" s="324" t="s">
        <v>106</v>
      </c>
      <c r="D54" s="325" t="s">
        <v>87</v>
      </c>
      <c r="E54" s="326" t="s">
        <v>36</v>
      </c>
      <c r="F54" s="240">
        <v>13203726182</v>
      </c>
      <c r="G54" s="240">
        <v>905834680</v>
      </c>
      <c r="H54" s="240">
        <v>1522871965</v>
      </c>
      <c r="I54" s="283">
        <v>32988071608</v>
      </c>
      <c r="J54" s="285">
        <v>1899</v>
      </c>
      <c r="K54" s="284">
        <v>48620504435</v>
      </c>
      <c r="L54" s="240"/>
      <c r="M54" s="240"/>
      <c r="N54" s="240"/>
      <c r="O54" s="240"/>
      <c r="P54" s="240"/>
      <c r="Q54" s="240"/>
      <c r="R54" s="240"/>
      <c r="S54" s="240"/>
      <c r="T54" s="283"/>
      <c r="U54" s="288"/>
      <c r="V54" s="284"/>
      <c r="W54" s="240">
        <v>48620504435</v>
      </c>
      <c r="X54" s="240"/>
      <c r="Y54" s="290"/>
      <c r="Z54" s="293" t="s">
        <v>247</v>
      </c>
      <c r="AA54" s="240">
        <v>5755150</v>
      </c>
      <c r="AB54" s="4"/>
      <c r="AC54" s="240"/>
      <c r="AD54" s="4"/>
      <c r="AE54" s="240"/>
      <c r="AF54" s="4"/>
      <c r="AG54" s="240"/>
      <c r="AH54" s="240">
        <v>8448</v>
      </c>
      <c r="AI54" s="240" t="s">
        <v>440</v>
      </c>
      <c r="AJ54" s="240" t="s">
        <v>440</v>
      </c>
      <c r="AK54" s="240" t="s">
        <v>440</v>
      </c>
      <c r="AL54" s="240">
        <v>385</v>
      </c>
      <c r="AM54" s="240">
        <v>132842908</v>
      </c>
      <c r="AN54" s="240">
        <v>25603214</v>
      </c>
      <c r="AO54" s="241">
        <v>757929163281</v>
      </c>
      <c r="AP54" s="302">
        <v>6.41</v>
      </c>
      <c r="AQ54" s="302">
        <v>27.16</v>
      </c>
      <c r="AR54" s="554" t="s">
        <v>150</v>
      </c>
    </row>
    <row r="55" spans="1:44" ht="22.5" customHeight="1" x14ac:dyDescent="0.15">
      <c r="A55">
        <v>50</v>
      </c>
      <c r="B55" s="323" t="s">
        <v>104</v>
      </c>
      <c r="C55" s="324" t="s">
        <v>107</v>
      </c>
      <c r="D55" s="325" t="s">
        <v>87</v>
      </c>
      <c r="E55" s="326" t="s">
        <v>36</v>
      </c>
      <c r="F55" s="240">
        <v>14430928747</v>
      </c>
      <c r="G55" s="240">
        <v>388529711</v>
      </c>
      <c r="H55" s="240">
        <v>1015006224</v>
      </c>
      <c r="I55" s="283">
        <v>45979838841</v>
      </c>
      <c r="J55" s="285">
        <v>2075.5</v>
      </c>
      <c r="K55" s="284">
        <v>61814303523</v>
      </c>
      <c r="L55" s="240"/>
      <c r="M55" s="240"/>
      <c r="N55" s="240"/>
      <c r="O55" s="240"/>
      <c r="P55" s="240"/>
      <c r="Q55" s="240"/>
      <c r="R55" s="240"/>
      <c r="S55" s="240"/>
      <c r="T55" s="283"/>
      <c r="U55" s="288"/>
      <c r="V55" s="284"/>
      <c r="W55" s="240">
        <v>61814303523</v>
      </c>
      <c r="X55" s="240"/>
      <c r="Y55" s="290"/>
      <c r="Z55" s="301" t="s">
        <v>248</v>
      </c>
      <c r="AA55" s="240">
        <v>44131</v>
      </c>
      <c r="AB55" s="4"/>
      <c r="AC55" s="240"/>
      <c r="AD55" s="4"/>
      <c r="AE55" s="240"/>
      <c r="AF55" s="4"/>
      <c r="AG55" s="240"/>
      <c r="AH55" s="240">
        <v>1400</v>
      </c>
      <c r="AI55" s="240" t="s">
        <v>440</v>
      </c>
      <c r="AJ55" s="240" t="s">
        <v>440</v>
      </c>
      <c r="AK55" s="240" t="s">
        <v>440</v>
      </c>
      <c r="AL55" s="240">
        <v>489</v>
      </c>
      <c r="AM55" s="240">
        <v>168891539</v>
      </c>
      <c r="AN55" s="240">
        <v>29782849</v>
      </c>
      <c r="AO55" s="240">
        <v>1671052214021</v>
      </c>
      <c r="AP55" s="302">
        <v>3.7</v>
      </c>
      <c r="AQ55" s="302">
        <v>23.35</v>
      </c>
      <c r="AR55" s="554" t="s">
        <v>150</v>
      </c>
    </row>
    <row r="56" spans="1:44" ht="22.5" customHeight="1" x14ac:dyDescent="0.15">
      <c r="A56" s="6">
        <v>51</v>
      </c>
      <c r="B56" s="323" t="s">
        <v>104</v>
      </c>
      <c r="C56" s="324" t="s">
        <v>192</v>
      </c>
      <c r="D56" s="325" t="s">
        <v>87</v>
      </c>
      <c r="E56" s="326" t="s">
        <v>36</v>
      </c>
      <c r="F56" s="240">
        <v>20858967</v>
      </c>
      <c r="G56" s="240">
        <v>17113119</v>
      </c>
      <c r="H56" s="240">
        <v>5403584</v>
      </c>
      <c r="I56" s="283">
        <v>25112940</v>
      </c>
      <c r="J56" s="285">
        <v>3</v>
      </c>
      <c r="K56" s="284">
        <v>68488610</v>
      </c>
      <c r="L56" s="240"/>
      <c r="M56" s="240"/>
      <c r="N56" s="240"/>
      <c r="O56" s="240"/>
      <c r="P56" s="240"/>
      <c r="Q56" s="240"/>
      <c r="R56" s="240"/>
      <c r="S56" s="240"/>
      <c r="T56" s="283"/>
      <c r="U56" s="288"/>
      <c r="V56" s="284"/>
      <c r="W56" s="240">
        <v>68488610</v>
      </c>
      <c r="X56" s="240"/>
      <c r="Y56" s="290"/>
      <c r="Z56" s="293" t="s">
        <v>249</v>
      </c>
      <c r="AA56" s="240">
        <v>2889784</v>
      </c>
      <c r="AB56" s="300"/>
      <c r="AC56" s="240"/>
      <c r="AD56" s="4"/>
      <c r="AE56" s="240"/>
      <c r="AF56" s="4"/>
      <c r="AG56" s="240"/>
      <c r="AH56" s="240">
        <v>23</v>
      </c>
      <c r="AI56" s="240" t="s">
        <v>440</v>
      </c>
      <c r="AJ56" s="240" t="s">
        <v>440</v>
      </c>
      <c r="AK56" s="240" t="s">
        <v>440</v>
      </c>
      <c r="AL56" s="310">
        <v>0.5</v>
      </c>
      <c r="AM56" s="240">
        <v>187127</v>
      </c>
      <c r="AN56" s="240">
        <v>22829536</v>
      </c>
      <c r="AO56" s="240">
        <v>126787912676</v>
      </c>
      <c r="AP56" s="302">
        <v>0.05</v>
      </c>
      <c r="AQ56" s="302">
        <v>30.46</v>
      </c>
      <c r="AR56" s="554" t="s">
        <v>150</v>
      </c>
    </row>
    <row r="57" spans="1:44" ht="22.5" customHeight="1" x14ac:dyDescent="0.15">
      <c r="A57">
        <v>52</v>
      </c>
      <c r="B57" s="323" t="s">
        <v>109</v>
      </c>
      <c r="C57" s="324" t="s">
        <v>194</v>
      </c>
      <c r="D57" s="325" t="s">
        <v>35</v>
      </c>
      <c r="E57" s="326" t="s">
        <v>36</v>
      </c>
      <c r="F57" s="240">
        <v>6583090020</v>
      </c>
      <c r="G57" s="240">
        <v>2488836430</v>
      </c>
      <c r="H57" s="240">
        <v>47073548</v>
      </c>
      <c r="I57" s="283">
        <v>982246736</v>
      </c>
      <c r="J57" s="285">
        <v>946.8</v>
      </c>
      <c r="K57" s="284">
        <v>10101246735</v>
      </c>
      <c r="L57" s="240"/>
      <c r="M57" s="240"/>
      <c r="N57" s="240"/>
      <c r="O57" s="240"/>
      <c r="P57" s="240"/>
      <c r="Q57" s="240"/>
      <c r="R57" s="240"/>
      <c r="S57" s="240"/>
      <c r="T57" s="283"/>
      <c r="U57" s="288"/>
      <c r="V57" s="284"/>
      <c r="W57" s="240">
        <v>10101246735</v>
      </c>
      <c r="X57" s="240"/>
      <c r="Y57" s="290"/>
      <c r="Z57" s="293" t="s">
        <v>592</v>
      </c>
      <c r="AA57" s="240">
        <v>1207698</v>
      </c>
      <c r="AB57" s="4"/>
      <c r="AC57" s="240"/>
      <c r="AD57" s="4"/>
      <c r="AE57" s="240"/>
      <c r="AF57" s="4"/>
      <c r="AG57" s="240"/>
      <c r="AH57" s="240">
        <v>8364</v>
      </c>
      <c r="AI57" s="240" t="s">
        <v>440</v>
      </c>
      <c r="AJ57" s="240" t="s">
        <v>440</v>
      </c>
      <c r="AK57" s="240" t="s">
        <v>440</v>
      </c>
      <c r="AL57" s="240">
        <v>80</v>
      </c>
      <c r="AM57" s="240">
        <v>27599034</v>
      </c>
      <c r="AN57" s="240">
        <v>10668828</v>
      </c>
      <c r="AO57" s="240"/>
      <c r="AP57" s="302"/>
      <c r="AQ57" s="302">
        <v>65.17</v>
      </c>
      <c r="AR57" s="554" t="s">
        <v>148</v>
      </c>
    </row>
    <row r="58" spans="1:44" ht="22.5" customHeight="1" x14ac:dyDescent="0.15">
      <c r="A58">
        <v>53</v>
      </c>
      <c r="B58" s="323" t="s">
        <v>109</v>
      </c>
      <c r="C58" s="324" t="s">
        <v>195</v>
      </c>
      <c r="D58" s="325" t="s">
        <v>35</v>
      </c>
      <c r="E58" s="326" t="s">
        <v>36</v>
      </c>
      <c r="F58" s="240">
        <v>2302134670</v>
      </c>
      <c r="G58" s="240">
        <v>870356719</v>
      </c>
      <c r="H58" s="240">
        <v>16461820</v>
      </c>
      <c r="I58" s="283">
        <v>1211101345</v>
      </c>
      <c r="J58" s="285">
        <v>331.1</v>
      </c>
      <c r="K58" s="284">
        <v>4400054555</v>
      </c>
      <c r="L58" s="240"/>
      <c r="M58" s="240"/>
      <c r="N58" s="240"/>
      <c r="O58" s="240"/>
      <c r="P58" s="240"/>
      <c r="Q58" s="240"/>
      <c r="R58" s="240"/>
      <c r="S58" s="240"/>
      <c r="T58" s="283"/>
      <c r="U58" s="295"/>
      <c r="V58" s="284"/>
      <c r="W58" s="240">
        <v>4400054555</v>
      </c>
      <c r="X58" s="240"/>
      <c r="Y58" s="290"/>
      <c r="Z58" s="293" t="s">
        <v>250</v>
      </c>
      <c r="AA58" s="240">
        <v>674702</v>
      </c>
      <c r="AB58" s="4"/>
      <c r="AC58" s="240"/>
      <c r="AD58" s="4"/>
      <c r="AE58" s="240"/>
      <c r="AF58" s="4"/>
      <c r="AG58" s="240"/>
      <c r="AH58" s="240">
        <v>6521</v>
      </c>
      <c r="AI58" s="240" t="s">
        <v>440</v>
      </c>
      <c r="AJ58" s="240" t="s">
        <v>440</v>
      </c>
      <c r="AK58" s="240" t="s">
        <v>440</v>
      </c>
      <c r="AL58" s="240">
        <v>34</v>
      </c>
      <c r="AM58" s="240">
        <v>12022006</v>
      </c>
      <c r="AN58" s="240">
        <v>13289201</v>
      </c>
      <c r="AO58" s="241"/>
      <c r="AP58" s="302"/>
      <c r="AQ58" s="302">
        <v>52.32</v>
      </c>
      <c r="AR58" s="554" t="s">
        <v>148</v>
      </c>
    </row>
    <row r="59" spans="1:44" ht="22.5" customHeight="1" x14ac:dyDescent="0.15">
      <c r="A59" s="6">
        <v>54</v>
      </c>
      <c r="B59" s="328" t="s">
        <v>109</v>
      </c>
      <c r="C59" s="327" t="s">
        <v>350</v>
      </c>
      <c r="D59" s="328" t="s">
        <v>338</v>
      </c>
      <c r="E59" s="328" t="s">
        <v>339</v>
      </c>
      <c r="F59" s="240">
        <v>20858967</v>
      </c>
      <c r="G59" s="240">
        <v>4085517</v>
      </c>
      <c r="H59" s="240">
        <v>58646</v>
      </c>
      <c r="I59" s="283">
        <v>5569490945</v>
      </c>
      <c r="J59" s="285">
        <v>3</v>
      </c>
      <c r="K59" s="284">
        <v>5594494075</v>
      </c>
      <c r="L59" s="240"/>
      <c r="M59" s="240"/>
      <c r="N59" s="240"/>
      <c r="O59" s="240"/>
      <c r="P59" s="240"/>
      <c r="Q59" s="240"/>
      <c r="R59" s="240"/>
      <c r="S59" s="240"/>
      <c r="T59" s="283"/>
      <c r="U59" s="288"/>
      <c r="V59" s="284"/>
      <c r="W59" s="240">
        <v>5594494075</v>
      </c>
      <c r="X59" s="240"/>
      <c r="Y59" s="290"/>
      <c r="Z59" s="293" t="s">
        <v>608</v>
      </c>
      <c r="AA59" s="240">
        <v>135</v>
      </c>
      <c r="AB59" s="4"/>
      <c r="AC59" s="240"/>
      <c r="AD59" s="4"/>
      <c r="AE59" s="240"/>
      <c r="AF59" s="4"/>
      <c r="AG59" s="240"/>
      <c r="AH59" s="240">
        <v>41440696</v>
      </c>
      <c r="AI59" s="240" t="s">
        <v>440</v>
      </c>
      <c r="AJ59" s="240" t="s">
        <v>440</v>
      </c>
      <c r="AK59" s="240" t="s">
        <v>440</v>
      </c>
      <c r="AL59" s="240">
        <v>44</v>
      </c>
      <c r="AM59" s="240">
        <v>15285502</v>
      </c>
      <c r="AN59" s="240">
        <v>1864831358</v>
      </c>
      <c r="AO59" s="241"/>
      <c r="AP59" s="302"/>
      <c r="AQ59" s="302">
        <v>0.37</v>
      </c>
      <c r="AR59" s="554" t="s">
        <v>148</v>
      </c>
    </row>
    <row r="60" spans="1:44" ht="22.5" customHeight="1" x14ac:dyDescent="0.15">
      <c r="A60">
        <v>55</v>
      </c>
      <c r="B60" s="328" t="s">
        <v>109</v>
      </c>
      <c r="C60" s="327" t="s">
        <v>349</v>
      </c>
      <c r="D60" s="328" t="s">
        <v>338</v>
      </c>
      <c r="E60" s="328" t="s">
        <v>339</v>
      </c>
      <c r="F60" s="240">
        <v>6952989</v>
      </c>
      <c r="G60" s="240">
        <v>25635882</v>
      </c>
      <c r="H60" s="240">
        <v>25923</v>
      </c>
      <c r="I60" s="283"/>
      <c r="J60" s="285">
        <v>1</v>
      </c>
      <c r="K60" s="284">
        <v>32614794</v>
      </c>
      <c r="L60" s="240"/>
      <c r="M60" s="240"/>
      <c r="N60" s="240"/>
      <c r="O60" s="240"/>
      <c r="P60" s="240"/>
      <c r="Q60" s="240"/>
      <c r="R60" s="240"/>
      <c r="S60" s="240"/>
      <c r="T60" s="283"/>
      <c r="U60" s="288"/>
      <c r="V60" s="284"/>
      <c r="W60" s="240">
        <v>32614794</v>
      </c>
      <c r="X60" s="240">
        <v>17027500</v>
      </c>
      <c r="Y60" s="290">
        <v>52.21</v>
      </c>
      <c r="Z60" s="495" t="s">
        <v>450</v>
      </c>
      <c r="AA60" s="240">
        <v>1225</v>
      </c>
      <c r="AB60" s="307"/>
      <c r="AC60" s="240"/>
      <c r="AD60" s="4"/>
      <c r="AE60" s="240"/>
      <c r="AF60" s="4"/>
      <c r="AG60" s="240"/>
      <c r="AH60" s="240">
        <v>26624</v>
      </c>
      <c r="AI60" s="240" t="s">
        <v>440</v>
      </c>
      <c r="AJ60" s="240" t="s">
        <v>440</v>
      </c>
      <c r="AK60" s="240" t="s">
        <v>440</v>
      </c>
      <c r="AL60" s="310">
        <v>0.2</v>
      </c>
      <c r="AM60" s="240">
        <v>89111</v>
      </c>
      <c r="AN60" s="240">
        <v>32614794</v>
      </c>
      <c r="AO60" s="241"/>
      <c r="AP60" s="302"/>
      <c r="AQ60" s="302">
        <v>21.32</v>
      </c>
      <c r="AR60" s="554" t="s">
        <v>148</v>
      </c>
    </row>
    <row r="61" spans="1:44" ht="22.5" customHeight="1" x14ac:dyDescent="0.15">
      <c r="A61">
        <v>56</v>
      </c>
      <c r="B61" s="328" t="s">
        <v>109</v>
      </c>
      <c r="C61" s="327" t="s">
        <v>437</v>
      </c>
      <c r="D61" s="328" t="s">
        <v>338</v>
      </c>
      <c r="E61" s="328" t="s">
        <v>345</v>
      </c>
      <c r="F61" s="240">
        <v>8343586</v>
      </c>
      <c r="G61" s="240">
        <v>3154418</v>
      </c>
      <c r="H61" s="240">
        <v>59662</v>
      </c>
      <c r="I61" s="283"/>
      <c r="J61" s="285">
        <v>1.2</v>
      </c>
      <c r="K61" s="284">
        <v>11557667</v>
      </c>
      <c r="L61" s="240">
        <v>229162104</v>
      </c>
      <c r="M61" s="240">
        <v>519174261</v>
      </c>
      <c r="N61" s="240">
        <v>14970266</v>
      </c>
      <c r="O61" s="240">
        <v>7371324</v>
      </c>
      <c r="P61" s="240">
        <v>244132370</v>
      </c>
      <c r="Q61" s="240"/>
      <c r="R61" s="240">
        <v>526545585</v>
      </c>
      <c r="S61" s="240">
        <v>4117150</v>
      </c>
      <c r="T61" s="283">
        <v>9401</v>
      </c>
      <c r="U61" s="288">
        <v>21.6</v>
      </c>
      <c r="V61" s="284">
        <v>774804507</v>
      </c>
      <c r="W61" s="240">
        <v>786362175</v>
      </c>
      <c r="X61" s="241">
        <v>82319000</v>
      </c>
      <c r="Y61" s="290">
        <v>10.47</v>
      </c>
      <c r="Z61" s="495" t="s">
        <v>371</v>
      </c>
      <c r="AA61" s="240">
        <v>15142</v>
      </c>
      <c r="AB61" s="293" t="s">
        <v>468</v>
      </c>
      <c r="AC61" s="241">
        <v>1748</v>
      </c>
      <c r="AD61" s="5" t="s">
        <v>467</v>
      </c>
      <c r="AE61" s="241">
        <v>6014</v>
      </c>
      <c r="AF61" s="5" t="s">
        <v>440</v>
      </c>
      <c r="AG61" s="241"/>
      <c r="AH61" s="241">
        <v>51932</v>
      </c>
      <c r="AI61" s="240">
        <v>449863</v>
      </c>
      <c r="AJ61" s="240">
        <v>130755</v>
      </c>
      <c r="AK61" s="241" t="s">
        <v>440</v>
      </c>
      <c r="AL61" s="241">
        <v>6</v>
      </c>
      <c r="AM61" s="240">
        <v>2148530</v>
      </c>
      <c r="AN61" s="240">
        <v>34489569</v>
      </c>
      <c r="AO61" s="241"/>
      <c r="AP61" s="302"/>
      <c r="AQ61" s="302">
        <v>32.11</v>
      </c>
      <c r="AR61" s="554" t="s">
        <v>149</v>
      </c>
    </row>
    <row r="62" spans="1:44" ht="22.5" customHeight="1" x14ac:dyDescent="0.15">
      <c r="A62" s="6">
        <v>57</v>
      </c>
      <c r="B62" s="328" t="s">
        <v>109</v>
      </c>
      <c r="C62" s="327" t="s">
        <v>442</v>
      </c>
      <c r="D62" s="328" t="s">
        <v>338</v>
      </c>
      <c r="E62" s="328" t="s">
        <v>345</v>
      </c>
      <c r="F62" s="240">
        <v>431085320</v>
      </c>
      <c r="G62" s="240">
        <v>81492084</v>
      </c>
      <c r="H62" s="240">
        <v>3256268</v>
      </c>
      <c r="I62" s="283"/>
      <c r="J62" s="285">
        <v>62</v>
      </c>
      <c r="K62" s="284">
        <v>515833672</v>
      </c>
      <c r="L62" s="240">
        <v>41440158000</v>
      </c>
      <c r="M62" s="240">
        <v>23074126000</v>
      </c>
      <c r="N62" s="240"/>
      <c r="O62" s="240"/>
      <c r="P62" s="240">
        <v>41440158000</v>
      </c>
      <c r="Q62" s="240"/>
      <c r="R62" s="240">
        <v>23074126000</v>
      </c>
      <c r="S62" s="240"/>
      <c r="T62" s="283"/>
      <c r="U62" s="285">
        <v>4923.2</v>
      </c>
      <c r="V62" s="284">
        <v>64514284000</v>
      </c>
      <c r="W62" s="240">
        <v>65030117672</v>
      </c>
      <c r="X62" s="240">
        <v>29210207000</v>
      </c>
      <c r="Y62" s="290">
        <v>44.92</v>
      </c>
      <c r="Z62" s="5" t="s">
        <v>369</v>
      </c>
      <c r="AA62" s="240">
        <v>1335000</v>
      </c>
      <c r="AB62" s="304"/>
      <c r="AC62" s="240"/>
      <c r="AD62" s="5" t="s">
        <v>440</v>
      </c>
      <c r="AE62" s="241"/>
      <c r="AF62" s="5"/>
      <c r="AG62" s="241"/>
      <c r="AH62" s="240">
        <v>48711</v>
      </c>
      <c r="AI62" s="240" t="s">
        <v>440</v>
      </c>
      <c r="AJ62" s="240" t="s">
        <v>440</v>
      </c>
      <c r="AK62" s="241" t="s">
        <v>440</v>
      </c>
      <c r="AL62" s="241">
        <v>515</v>
      </c>
      <c r="AM62" s="240">
        <v>177677917</v>
      </c>
      <c r="AN62" s="240">
        <v>13044413</v>
      </c>
      <c r="AO62" s="241"/>
      <c r="AP62" s="302"/>
      <c r="AQ62" s="302">
        <v>64.39</v>
      </c>
      <c r="AR62" s="554" t="s">
        <v>149</v>
      </c>
    </row>
    <row r="63" spans="1:44" ht="22.5" customHeight="1" x14ac:dyDescent="0.15">
      <c r="A63">
        <v>58</v>
      </c>
      <c r="B63" s="328" t="s">
        <v>109</v>
      </c>
      <c r="C63" s="327" t="s">
        <v>380</v>
      </c>
      <c r="D63" s="328" t="s">
        <v>346</v>
      </c>
      <c r="E63" s="328" t="s">
        <v>339</v>
      </c>
      <c r="F63" s="240">
        <v>42816506</v>
      </c>
      <c r="G63" s="240">
        <v>11867096</v>
      </c>
      <c r="H63" s="240">
        <v>315377</v>
      </c>
      <c r="I63" s="283"/>
      <c r="J63" s="285">
        <v>6.1</v>
      </c>
      <c r="K63" s="284">
        <v>54998980</v>
      </c>
      <c r="L63" s="240"/>
      <c r="M63" s="240"/>
      <c r="N63" s="240"/>
      <c r="O63" s="240"/>
      <c r="P63" s="240"/>
      <c r="Q63" s="240"/>
      <c r="R63" s="240"/>
      <c r="S63" s="240"/>
      <c r="T63" s="283"/>
      <c r="U63" s="288"/>
      <c r="V63" s="284"/>
      <c r="W63" s="240">
        <v>54998980</v>
      </c>
      <c r="X63" s="241"/>
      <c r="Y63" s="290"/>
      <c r="Z63" s="495" t="s">
        <v>370</v>
      </c>
      <c r="AA63" s="240">
        <v>45</v>
      </c>
      <c r="AB63" s="5"/>
      <c r="AC63" s="240"/>
      <c r="AD63" s="5" t="s">
        <v>440</v>
      </c>
      <c r="AE63" s="240"/>
      <c r="AF63" s="5"/>
      <c r="AG63" s="241"/>
      <c r="AH63" s="240">
        <v>1222199</v>
      </c>
      <c r="AI63" s="240" t="s">
        <v>440</v>
      </c>
      <c r="AJ63" s="240" t="s">
        <v>440</v>
      </c>
      <c r="AK63" s="241" t="s">
        <v>440</v>
      </c>
      <c r="AL63" s="313">
        <v>0.4</v>
      </c>
      <c r="AM63" s="240">
        <v>150270</v>
      </c>
      <c r="AN63" s="241">
        <v>8931305</v>
      </c>
      <c r="AO63" s="241">
        <v>12394214006</v>
      </c>
      <c r="AP63" s="302">
        <v>0.44</v>
      </c>
      <c r="AQ63" s="302">
        <v>77.849999999999994</v>
      </c>
      <c r="AR63" s="554" t="s">
        <v>150</v>
      </c>
    </row>
    <row r="64" spans="1:44" ht="22.5" customHeight="1" x14ac:dyDescent="0.15">
      <c r="A64">
        <v>59</v>
      </c>
      <c r="B64" s="328" t="s">
        <v>110</v>
      </c>
      <c r="C64" s="327" t="s">
        <v>475</v>
      </c>
      <c r="D64" s="328" t="s">
        <v>338</v>
      </c>
      <c r="E64" s="328" t="s">
        <v>339</v>
      </c>
      <c r="F64" s="240">
        <v>6952989</v>
      </c>
      <c r="G64" s="240">
        <v>2416491</v>
      </c>
      <c r="H64" s="240">
        <v>479216</v>
      </c>
      <c r="I64" s="283">
        <v>39399560</v>
      </c>
      <c r="J64" s="285">
        <v>1</v>
      </c>
      <c r="K64" s="284">
        <v>49248256</v>
      </c>
      <c r="L64" s="240"/>
      <c r="M64" s="240"/>
      <c r="N64" s="240"/>
      <c r="O64" s="240"/>
      <c r="P64" s="240"/>
      <c r="Q64" s="240"/>
      <c r="R64" s="240"/>
      <c r="S64" s="240"/>
      <c r="T64" s="283"/>
      <c r="U64" s="288"/>
      <c r="V64" s="284"/>
      <c r="W64" s="240">
        <v>49248256</v>
      </c>
      <c r="X64" s="240">
        <v>49028000</v>
      </c>
      <c r="Y64" s="290">
        <v>99.55</v>
      </c>
      <c r="Z64" s="5" t="s">
        <v>359</v>
      </c>
      <c r="AA64" s="240">
        <v>5768</v>
      </c>
      <c r="AB64" s="293"/>
      <c r="AC64" s="241"/>
      <c r="AD64" s="5"/>
      <c r="AE64" s="241"/>
      <c r="AF64" s="5"/>
      <c r="AG64" s="241"/>
      <c r="AH64" s="240">
        <v>8538</v>
      </c>
      <c r="AI64" s="240" t="s">
        <v>440</v>
      </c>
      <c r="AJ64" s="240" t="s">
        <v>440</v>
      </c>
      <c r="AK64" s="241" t="s">
        <v>440</v>
      </c>
      <c r="AL64" s="313">
        <v>0.3</v>
      </c>
      <c r="AM64" s="240">
        <v>134558</v>
      </c>
      <c r="AN64" s="241">
        <v>49248256</v>
      </c>
      <c r="AO64" s="241"/>
      <c r="AP64" s="302"/>
      <c r="AQ64" s="302">
        <v>14.12</v>
      </c>
      <c r="AR64" s="554" t="s">
        <v>148</v>
      </c>
    </row>
    <row r="65" spans="1:44" ht="22.5" customHeight="1" x14ac:dyDescent="0.15">
      <c r="A65" s="6">
        <v>60</v>
      </c>
      <c r="B65" s="323" t="s">
        <v>110</v>
      </c>
      <c r="C65" s="324" t="s">
        <v>111</v>
      </c>
      <c r="D65" s="325" t="s">
        <v>35</v>
      </c>
      <c r="E65" s="326" t="s">
        <v>36</v>
      </c>
      <c r="F65" s="240">
        <v>22249564</v>
      </c>
      <c r="G65" s="240">
        <v>22414151</v>
      </c>
      <c r="H65" s="240">
        <v>504777</v>
      </c>
      <c r="I65" s="283">
        <v>72824626</v>
      </c>
      <c r="J65" s="285">
        <v>3.2</v>
      </c>
      <c r="K65" s="284">
        <v>117993120</v>
      </c>
      <c r="L65" s="240"/>
      <c r="M65" s="240"/>
      <c r="N65" s="240"/>
      <c r="O65" s="240"/>
      <c r="P65" s="240"/>
      <c r="Q65" s="240"/>
      <c r="R65" s="240"/>
      <c r="S65" s="240"/>
      <c r="T65" s="283"/>
      <c r="U65" s="288"/>
      <c r="V65" s="284"/>
      <c r="W65" s="240">
        <v>117993120</v>
      </c>
      <c r="X65" s="240">
        <v>46344000</v>
      </c>
      <c r="Y65" s="290">
        <v>39.28</v>
      </c>
      <c r="Z65" s="494" t="s">
        <v>251</v>
      </c>
      <c r="AA65" s="240">
        <v>3862</v>
      </c>
      <c r="AB65" s="5"/>
      <c r="AC65" s="241"/>
      <c r="AD65" s="5"/>
      <c r="AE65" s="241"/>
      <c r="AF65" s="5"/>
      <c r="AG65" s="241"/>
      <c r="AH65" s="240">
        <v>30552</v>
      </c>
      <c r="AI65" s="240" t="s">
        <v>440</v>
      </c>
      <c r="AJ65" s="240" t="s">
        <v>440</v>
      </c>
      <c r="AK65" s="241" t="s">
        <v>440</v>
      </c>
      <c r="AL65" s="313">
        <v>0.9</v>
      </c>
      <c r="AM65" s="240">
        <v>322385</v>
      </c>
      <c r="AN65" s="240">
        <v>36872850</v>
      </c>
      <c r="AO65" s="241"/>
      <c r="AP65" s="302"/>
      <c r="AQ65" s="302">
        <v>18.86</v>
      </c>
      <c r="AR65" s="554" t="s">
        <v>148</v>
      </c>
    </row>
    <row r="66" spans="1:44" ht="22.5" customHeight="1" x14ac:dyDescent="0.15">
      <c r="A66">
        <v>61</v>
      </c>
      <c r="B66" s="328" t="s">
        <v>110</v>
      </c>
      <c r="C66" s="327" t="s">
        <v>463</v>
      </c>
      <c r="D66" s="328" t="s">
        <v>346</v>
      </c>
      <c r="E66" s="328" t="s">
        <v>345</v>
      </c>
      <c r="F66" s="240">
        <v>1390597</v>
      </c>
      <c r="G66" s="240">
        <v>972644</v>
      </c>
      <c r="H66" s="240"/>
      <c r="I66" s="283"/>
      <c r="J66" s="285">
        <v>0.2</v>
      </c>
      <c r="K66" s="284">
        <v>2363242</v>
      </c>
      <c r="L66" s="240">
        <v>5144018</v>
      </c>
      <c r="M66" s="240">
        <v>397475666</v>
      </c>
      <c r="N66" s="240">
        <v>329545</v>
      </c>
      <c r="O66" s="240">
        <v>930600</v>
      </c>
      <c r="P66" s="240">
        <v>5473563</v>
      </c>
      <c r="Q66" s="240"/>
      <c r="R66" s="240">
        <v>398406266</v>
      </c>
      <c r="S66" s="240"/>
      <c r="T66" s="283"/>
      <c r="U66" s="288">
        <v>1</v>
      </c>
      <c r="V66" s="284">
        <v>403879829</v>
      </c>
      <c r="W66" s="240">
        <v>406243071</v>
      </c>
      <c r="X66" s="240"/>
      <c r="Y66" s="290"/>
      <c r="Z66" s="5" t="s">
        <v>254</v>
      </c>
      <c r="AA66" s="241">
        <v>732</v>
      </c>
      <c r="AB66" s="5"/>
      <c r="AC66" s="241"/>
      <c r="AD66" s="5"/>
      <c r="AE66" s="241"/>
      <c r="AF66" s="5"/>
      <c r="AG66" s="241"/>
      <c r="AH66" s="240">
        <v>554976</v>
      </c>
      <c r="AI66" s="240" t="s">
        <v>440</v>
      </c>
      <c r="AJ66" s="240" t="s">
        <v>440</v>
      </c>
      <c r="AK66" s="241" t="s">
        <v>440</v>
      </c>
      <c r="AL66" s="241">
        <v>3</v>
      </c>
      <c r="AM66" s="240">
        <v>1109953</v>
      </c>
      <c r="AN66" s="240">
        <v>338535892</v>
      </c>
      <c r="AO66" s="241">
        <v>1707970745</v>
      </c>
      <c r="AP66" s="302">
        <v>23.79</v>
      </c>
      <c r="AQ66" s="302">
        <v>1.69</v>
      </c>
      <c r="AR66" s="554" t="s">
        <v>151</v>
      </c>
    </row>
    <row r="67" spans="1:44" ht="22.5" customHeight="1" x14ac:dyDescent="0.15">
      <c r="A67">
        <v>62</v>
      </c>
      <c r="B67" s="328" t="s">
        <v>110</v>
      </c>
      <c r="C67" s="327" t="s">
        <v>347</v>
      </c>
      <c r="D67" s="328" t="s">
        <v>346</v>
      </c>
      <c r="E67" s="328" t="s">
        <v>345</v>
      </c>
      <c r="F67" s="240">
        <v>4867092</v>
      </c>
      <c r="G67" s="240">
        <v>9392767</v>
      </c>
      <c r="H67" s="240">
        <v>56417481</v>
      </c>
      <c r="I67" s="283"/>
      <c r="J67" s="285">
        <v>0.7</v>
      </c>
      <c r="K67" s="284">
        <v>70677341</v>
      </c>
      <c r="L67" s="240">
        <v>462167372</v>
      </c>
      <c r="M67" s="240">
        <v>3199737794</v>
      </c>
      <c r="N67" s="240">
        <v>16440120</v>
      </c>
      <c r="O67" s="240">
        <v>26646647</v>
      </c>
      <c r="P67" s="240">
        <v>478607492</v>
      </c>
      <c r="Q67" s="240"/>
      <c r="R67" s="240">
        <v>3226384441</v>
      </c>
      <c r="S67" s="240"/>
      <c r="T67" s="283"/>
      <c r="U67" s="288">
        <v>125.8</v>
      </c>
      <c r="V67" s="284">
        <v>3704991933</v>
      </c>
      <c r="W67" s="240">
        <v>3775669275</v>
      </c>
      <c r="X67" s="241"/>
      <c r="Y67" s="290"/>
      <c r="Z67" s="501" t="s">
        <v>612</v>
      </c>
      <c r="AA67" s="241">
        <v>2839</v>
      </c>
      <c r="AB67" s="294"/>
      <c r="AC67" s="241"/>
      <c r="AD67" s="5"/>
      <c r="AE67" s="241"/>
      <c r="AF67" s="5"/>
      <c r="AG67" s="241"/>
      <c r="AH67" s="240">
        <v>1329929</v>
      </c>
      <c r="AI67" s="240" t="s">
        <v>440</v>
      </c>
      <c r="AJ67" s="240" t="s">
        <v>440</v>
      </c>
      <c r="AK67" s="241" t="s">
        <v>440</v>
      </c>
      <c r="AL67" s="241">
        <v>29</v>
      </c>
      <c r="AM67" s="240">
        <v>10316036</v>
      </c>
      <c r="AN67" s="240">
        <v>29826229</v>
      </c>
      <c r="AO67" s="240">
        <v>36537733813</v>
      </c>
      <c r="AP67" s="302">
        <v>10.33</v>
      </c>
      <c r="AQ67" s="302">
        <v>12.81</v>
      </c>
      <c r="AR67" s="554" t="s">
        <v>151</v>
      </c>
    </row>
    <row r="68" spans="1:44" ht="22.5" customHeight="1" x14ac:dyDescent="0.15">
      <c r="A68" s="6">
        <v>63</v>
      </c>
      <c r="B68" s="323" t="s">
        <v>110</v>
      </c>
      <c r="C68" s="324" t="s">
        <v>196</v>
      </c>
      <c r="D68" s="323" t="s">
        <v>87</v>
      </c>
      <c r="E68" s="330" t="s">
        <v>38</v>
      </c>
      <c r="F68" s="240">
        <v>7648287</v>
      </c>
      <c r="G68" s="240">
        <v>14760063</v>
      </c>
      <c r="H68" s="240">
        <v>88656042</v>
      </c>
      <c r="I68" s="283"/>
      <c r="J68" s="285">
        <v>1.1000000000000001</v>
      </c>
      <c r="K68" s="284">
        <v>111064393</v>
      </c>
      <c r="L68" s="240">
        <v>104062388</v>
      </c>
      <c r="M68" s="240">
        <v>66618104</v>
      </c>
      <c r="N68" s="240">
        <v>2921041</v>
      </c>
      <c r="O68" s="240">
        <v>2440922</v>
      </c>
      <c r="P68" s="240">
        <v>106983429</v>
      </c>
      <c r="Q68" s="240"/>
      <c r="R68" s="240">
        <v>69059026</v>
      </c>
      <c r="S68" s="240"/>
      <c r="T68" s="283"/>
      <c r="U68" s="288">
        <v>15.5</v>
      </c>
      <c r="V68" s="284">
        <v>176042456</v>
      </c>
      <c r="W68" s="240">
        <v>287106850</v>
      </c>
      <c r="X68" s="241"/>
      <c r="Y68" s="290"/>
      <c r="Z68" s="495" t="s">
        <v>254</v>
      </c>
      <c r="AA68" s="241">
        <v>159</v>
      </c>
      <c r="AB68" s="499" t="s">
        <v>253</v>
      </c>
      <c r="AC68" s="241">
        <v>307</v>
      </c>
      <c r="AD68" s="5"/>
      <c r="AE68" s="241"/>
      <c r="AF68" s="5"/>
      <c r="AG68" s="241"/>
      <c r="AH68" s="240">
        <v>1805703</v>
      </c>
      <c r="AI68" s="240">
        <v>935201</v>
      </c>
      <c r="AJ68" s="240" t="s">
        <v>440</v>
      </c>
      <c r="AK68" s="241" t="s">
        <v>440</v>
      </c>
      <c r="AL68" s="241">
        <v>2</v>
      </c>
      <c r="AM68" s="241">
        <v>784444</v>
      </c>
      <c r="AN68" s="241">
        <v>17208085</v>
      </c>
      <c r="AO68" s="241">
        <v>758558000</v>
      </c>
      <c r="AP68" s="302">
        <v>37.85</v>
      </c>
      <c r="AQ68" s="302">
        <v>39.93</v>
      </c>
      <c r="AR68" s="554" t="s">
        <v>151</v>
      </c>
    </row>
    <row r="69" spans="1:44" ht="22.5" customHeight="1" x14ac:dyDescent="0.15">
      <c r="A69">
        <v>64</v>
      </c>
      <c r="B69" s="323" t="s">
        <v>110</v>
      </c>
      <c r="C69" s="324" t="s">
        <v>348</v>
      </c>
      <c r="D69" s="323" t="s">
        <v>346</v>
      </c>
      <c r="E69" s="330" t="s">
        <v>481</v>
      </c>
      <c r="F69" s="240">
        <v>11820081</v>
      </c>
      <c r="G69" s="240">
        <v>22811007</v>
      </c>
      <c r="H69" s="240">
        <v>137013883</v>
      </c>
      <c r="I69" s="283"/>
      <c r="J69" s="285">
        <v>1.7</v>
      </c>
      <c r="K69" s="284">
        <v>171644972</v>
      </c>
      <c r="L69" s="240">
        <v>115601723</v>
      </c>
      <c r="M69" s="240">
        <v>29317344</v>
      </c>
      <c r="N69" s="240">
        <v>3186369</v>
      </c>
      <c r="O69" s="240">
        <v>2662640</v>
      </c>
      <c r="P69" s="240">
        <v>118788092</v>
      </c>
      <c r="Q69" s="240"/>
      <c r="R69" s="240">
        <v>31979984</v>
      </c>
      <c r="S69" s="240"/>
      <c r="T69" s="283"/>
      <c r="U69" s="288">
        <v>17</v>
      </c>
      <c r="V69" s="284">
        <v>150768076</v>
      </c>
      <c r="W69" s="240">
        <v>322413049</v>
      </c>
      <c r="X69" s="241"/>
      <c r="Y69" s="290"/>
      <c r="Z69" s="495" t="s">
        <v>254</v>
      </c>
      <c r="AA69" s="241">
        <v>117</v>
      </c>
      <c r="AB69" s="599" t="s">
        <v>604</v>
      </c>
      <c r="AC69" s="241">
        <v>19</v>
      </c>
      <c r="AD69" s="5"/>
      <c r="AE69" s="241"/>
      <c r="AF69" s="5"/>
      <c r="AG69" s="241"/>
      <c r="AH69" s="240">
        <v>2755667</v>
      </c>
      <c r="AI69" s="240">
        <v>16969107</v>
      </c>
      <c r="AJ69" s="240" t="s">
        <v>440</v>
      </c>
      <c r="AK69" s="241" t="s">
        <v>440</v>
      </c>
      <c r="AL69" s="241">
        <v>2</v>
      </c>
      <c r="AM69" s="240">
        <v>880909</v>
      </c>
      <c r="AN69" s="240">
        <v>17241339</v>
      </c>
      <c r="AO69" s="241">
        <v>5601007822</v>
      </c>
      <c r="AP69" s="302">
        <v>5.76</v>
      </c>
      <c r="AQ69" s="302">
        <v>40.51</v>
      </c>
      <c r="AR69" s="554" t="s">
        <v>151</v>
      </c>
    </row>
    <row r="70" spans="1:44" ht="22.5" customHeight="1" x14ac:dyDescent="0.15">
      <c r="A70">
        <v>65</v>
      </c>
      <c r="B70" s="323" t="s">
        <v>110</v>
      </c>
      <c r="C70" s="324" t="s">
        <v>441</v>
      </c>
      <c r="D70" s="323" t="s">
        <v>87</v>
      </c>
      <c r="E70" s="330" t="s">
        <v>38</v>
      </c>
      <c r="F70" s="241">
        <v>11820081</v>
      </c>
      <c r="G70" s="240">
        <v>22811007</v>
      </c>
      <c r="H70" s="240">
        <v>137013883</v>
      </c>
      <c r="I70" s="283"/>
      <c r="J70" s="352">
        <v>1.7</v>
      </c>
      <c r="K70" s="284">
        <v>171644972</v>
      </c>
      <c r="L70" s="240">
        <v>93991982</v>
      </c>
      <c r="M70" s="240">
        <v>367928441</v>
      </c>
      <c r="N70" s="240">
        <v>3099393</v>
      </c>
      <c r="O70" s="240">
        <v>13951861</v>
      </c>
      <c r="P70" s="240">
        <v>97091375</v>
      </c>
      <c r="Q70" s="240"/>
      <c r="R70" s="240">
        <v>381880302</v>
      </c>
      <c r="S70" s="241"/>
      <c r="T70" s="305"/>
      <c r="U70" s="288">
        <v>53</v>
      </c>
      <c r="V70" s="284">
        <v>478971678</v>
      </c>
      <c r="W70" s="240">
        <v>650616650</v>
      </c>
      <c r="X70" s="240"/>
      <c r="Y70" s="290"/>
      <c r="Z70" s="495" t="s">
        <v>254</v>
      </c>
      <c r="AA70" s="241">
        <v>26758</v>
      </c>
      <c r="AB70" s="5"/>
      <c r="AC70" s="241"/>
      <c r="AD70" s="5"/>
      <c r="AE70" s="241"/>
      <c r="AF70" s="5"/>
      <c r="AG70" s="241"/>
      <c r="AH70" s="240">
        <v>24314</v>
      </c>
      <c r="AI70" s="241" t="s">
        <v>440</v>
      </c>
      <c r="AJ70" s="241" t="s">
        <v>440</v>
      </c>
      <c r="AK70" s="241" t="s">
        <v>440</v>
      </c>
      <c r="AL70" s="241">
        <v>5</v>
      </c>
      <c r="AM70" s="240">
        <v>1777641</v>
      </c>
      <c r="AN70" s="240">
        <v>11894271</v>
      </c>
      <c r="AO70" s="241">
        <v>2219438000</v>
      </c>
      <c r="AP70" s="302">
        <v>29.31</v>
      </c>
      <c r="AQ70" s="302">
        <v>16.739999999999998</v>
      </c>
      <c r="AR70" s="554" t="s">
        <v>151</v>
      </c>
    </row>
    <row r="71" spans="1:44" ht="22.5" customHeight="1" x14ac:dyDescent="0.15">
      <c r="A71" s="6">
        <v>66</v>
      </c>
      <c r="B71" s="323" t="s">
        <v>112</v>
      </c>
      <c r="C71" s="324" t="s">
        <v>343</v>
      </c>
      <c r="D71" s="328" t="s">
        <v>338</v>
      </c>
      <c r="E71" s="328" t="s">
        <v>339</v>
      </c>
      <c r="F71" s="241">
        <v>641621828</v>
      </c>
      <c r="G71" s="240">
        <v>168620805</v>
      </c>
      <c r="H71" s="240"/>
      <c r="I71" s="283">
        <v>14005645624</v>
      </c>
      <c r="J71" s="352">
        <v>92.2</v>
      </c>
      <c r="K71" s="284">
        <v>14815888258</v>
      </c>
      <c r="L71" s="240"/>
      <c r="M71" s="240"/>
      <c r="N71" s="240"/>
      <c r="O71" s="240"/>
      <c r="P71" s="240"/>
      <c r="Q71" s="240"/>
      <c r="R71" s="240"/>
      <c r="S71" s="241"/>
      <c r="T71" s="305"/>
      <c r="U71" s="288"/>
      <c r="V71" s="284"/>
      <c r="W71" s="240">
        <v>14815888258</v>
      </c>
      <c r="X71" s="240"/>
      <c r="Y71" s="290"/>
      <c r="Z71" s="5" t="s">
        <v>373</v>
      </c>
      <c r="AA71" s="241">
        <v>32164286</v>
      </c>
      <c r="AB71" s="5" t="s">
        <v>476</v>
      </c>
      <c r="AC71" s="241">
        <v>4178</v>
      </c>
      <c r="AD71" s="5"/>
      <c r="AE71" s="241"/>
      <c r="AF71" s="5"/>
      <c r="AG71" s="241"/>
      <c r="AH71" s="240">
        <v>460</v>
      </c>
      <c r="AI71" s="241">
        <v>3546167</v>
      </c>
      <c r="AJ71" s="241" t="s">
        <v>440</v>
      </c>
      <c r="AK71" s="241" t="s">
        <v>440</v>
      </c>
      <c r="AL71" s="241">
        <v>117</v>
      </c>
      <c r="AM71" s="240">
        <v>40480569</v>
      </c>
      <c r="AN71" s="240">
        <v>160553622</v>
      </c>
      <c r="AO71" s="241"/>
      <c r="AP71" s="302"/>
      <c r="AQ71" s="302">
        <v>4.33</v>
      </c>
      <c r="AR71" s="554" t="s">
        <v>148</v>
      </c>
    </row>
    <row r="72" spans="1:44" ht="22.5" customHeight="1" x14ac:dyDescent="0.15">
      <c r="A72">
        <v>67</v>
      </c>
      <c r="B72" s="328" t="s">
        <v>112</v>
      </c>
      <c r="C72" s="327" t="s">
        <v>260</v>
      </c>
      <c r="D72" s="328" t="s">
        <v>35</v>
      </c>
      <c r="E72" s="328" t="s">
        <v>36</v>
      </c>
      <c r="F72" s="240">
        <v>34069645</v>
      </c>
      <c r="G72" s="240">
        <v>485292</v>
      </c>
      <c r="H72" s="240"/>
      <c r="I72" s="283">
        <v>202449045</v>
      </c>
      <c r="J72" s="285">
        <v>4.8999999999999995</v>
      </c>
      <c r="K72" s="284">
        <v>237003984</v>
      </c>
      <c r="L72" s="240"/>
      <c r="M72" s="240"/>
      <c r="N72" s="240"/>
      <c r="O72" s="240"/>
      <c r="P72" s="240"/>
      <c r="Q72" s="240"/>
      <c r="R72" s="240"/>
      <c r="S72" s="241"/>
      <c r="T72" s="305"/>
      <c r="U72" s="288"/>
      <c r="V72" s="284"/>
      <c r="W72" s="284">
        <v>237003984</v>
      </c>
      <c r="X72" s="240"/>
      <c r="Y72" s="290"/>
      <c r="Z72" s="293" t="s">
        <v>255</v>
      </c>
      <c r="AA72" s="241">
        <v>84</v>
      </c>
      <c r="AB72" s="293" t="s">
        <v>256</v>
      </c>
      <c r="AC72" s="241">
        <v>1422</v>
      </c>
      <c r="AD72" s="5"/>
      <c r="AE72" s="241"/>
      <c r="AF72" s="5"/>
      <c r="AG72" s="241"/>
      <c r="AH72" s="240">
        <v>87790</v>
      </c>
      <c r="AI72" s="241">
        <v>161483</v>
      </c>
      <c r="AJ72" s="241"/>
      <c r="AK72" s="241"/>
      <c r="AL72" s="241">
        <v>1</v>
      </c>
      <c r="AM72" s="240"/>
      <c r="AN72" s="240"/>
      <c r="AO72" s="241"/>
      <c r="AP72" s="302"/>
      <c r="AQ72" s="302">
        <v>14.376938353881725</v>
      </c>
      <c r="AR72" s="554" t="s">
        <v>148</v>
      </c>
    </row>
    <row r="73" spans="1:44" ht="22.5" customHeight="1" x14ac:dyDescent="0.15">
      <c r="A73">
        <v>68</v>
      </c>
      <c r="B73" s="328" t="s">
        <v>112</v>
      </c>
      <c r="C73" s="327" t="s">
        <v>261</v>
      </c>
      <c r="D73" s="328" t="s">
        <v>35</v>
      </c>
      <c r="E73" s="328" t="s">
        <v>36</v>
      </c>
      <c r="F73" s="241">
        <v>2085896</v>
      </c>
      <c r="G73" s="240">
        <v>29711</v>
      </c>
      <c r="H73" s="240"/>
      <c r="I73" s="283">
        <v>5258813</v>
      </c>
      <c r="J73" s="352">
        <v>0.3</v>
      </c>
      <c r="K73" s="284">
        <v>7374421</v>
      </c>
      <c r="L73" s="240"/>
      <c r="M73" s="240"/>
      <c r="N73" s="240"/>
      <c r="O73" s="240"/>
      <c r="P73" s="240"/>
      <c r="Q73" s="240"/>
      <c r="R73" s="240"/>
      <c r="S73" s="241"/>
      <c r="T73" s="305"/>
      <c r="U73" s="288"/>
      <c r="V73" s="284"/>
      <c r="W73" s="240">
        <v>7374421</v>
      </c>
      <c r="X73" s="240"/>
      <c r="Y73" s="290"/>
      <c r="Z73" s="304" t="s">
        <v>255</v>
      </c>
      <c r="AA73" s="241">
        <v>84</v>
      </c>
      <c r="AB73" s="5"/>
      <c r="AC73" s="241"/>
      <c r="AD73" s="5"/>
      <c r="AE73" s="241"/>
      <c r="AF73" s="5"/>
      <c r="AG73" s="241"/>
      <c r="AH73" s="240">
        <v>87790</v>
      </c>
      <c r="AI73" s="241" t="s">
        <v>440</v>
      </c>
      <c r="AJ73" s="241" t="s">
        <v>440</v>
      </c>
      <c r="AK73" s="241" t="s">
        <v>440</v>
      </c>
      <c r="AL73" s="314"/>
      <c r="AM73" s="240">
        <v>20148</v>
      </c>
      <c r="AN73" s="240"/>
      <c r="AO73" s="241"/>
      <c r="AP73" s="302"/>
      <c r="AQ73" s="302">
        <v>28.29</v>
      </c>
      <c r="AR73" s="554"/>
    </row>
    <row r="74" spans="1:44" ht="22.5" customHeight="1" x14ac:dyDescent="0.15">
      <c r="A74" s="6">
        <v>69</v>
      </c>
      <c r="B74" s="323" t="s">
        <v>112</v>
      </c>
      <c r="C74" s="324" t="s">
        <v>227</v>
      </c>
      <c r="D74" s="328" t="s">
        <v>35</v>
      </c>
      <c r="E74" s="328" t="s">
        <v>36</v>
      </c>
      <c r="F74" s="241">
        <v>31983749</v>
      </c>
      <c r="G74" s="240">
        <v>455581</v>
      </c>
      <c r="H74" s="240"/>
      <c r="I74" s="283">
        <v>197190232</v>
      </c>
      <c r="J74" s="352">
        <v>4.5999999999999996</v>
      </c>
      <c r="K74" s="284">
        <v>229629563</v>
      </c>
      <c r="L74" s="240"/>
      <c r="M74" s="240"/>
      <c r="N74" s="240"/>
      <c r="O74" s="240"/>
      <c r="P74" s="240"/>
      <c r="Q74" s="240"/>
      <c r="R74" s="240"/>
      <c r="S74" s="241"/>
      <c r="T74" s="305"/>
      <c r="U74" s="288"/>
      <c r="V74" s="284"/>
      <c r="W74" s="240">
        <v>229629563</v>
      </c>
      <c r="X74" s="240"/>
      <c r="Y74" s="290"/>
      <c r="Z74" s="293" t="s">
        <v>256</v>
      </c>
      <c r="AA74" s="241">
        <v>1422</v>
      </c>
      <c r="AB74" s="294"/>
      <c r="AC74" s="241"/>
      <c r="AD74" s="5"/>
      <c r="AE74" s="241"/>
      <c r="AF74" s="5"/>
      <c r="AG74" s="241"/>
      <c r="AH74" s="240">
        <v>161483</v>
      </c>
      <c r="AI74" s="241" t="s">
        <v>440</v>
      </c>
      <c r="AJ74" s="241" t="s">
        <v>440</v>
      </c>
      <c r="AK74" s="241" t="s">
        <v>440</v>
      </c>
      <c r="AL74" s="241"/>
      <c r="AM74" s="240">
        <v>627403</v>
      </c>
      <c r="AN74" s="240">
        <v>49919470</v>
      </c>
      <c r="AO74" s="241"/>
      <c r="AP74" s="302"/>
      <c r="AQ74" s="302">
        <v>13.93</v>
      </c>
      <c r="AR74" s="554"/>
    </row>
    <row r="75" spans="1:44" ht="22.5" customHeight="1" x14ac:dyDescent="0.15">
      <c r="A75">
        <v>70</v>
      </c>
      <c r="B75" s="328" t="s">
        <v>112</v>
      </c>
      <c r="C75" s="327" t="s">
        <v>113</v>
      </c>
      <c r="D75" s="328" t="s">
        <v>35</v>
      </c>
      <c r="E75" s="328" t="s">
        <v>36</v>
      </c>
      <c r="F75" s="241">
        <v>66053395</v>
      </c>
      <c r="G75" s="240">
        <v>5509104</v>
      </c>
      <c r="H75" s="240"/>
      <c r="I75" s="283">
        <v>278216677</v>
      </c>
      <c r="J75" s="352">
        <v>9.5</v>
      </c>
      <c r="K75" s="284">
        <v>349779177</v>
      </c>
      <c r="L75" s="240"/>
      <c r="M75" s="240"/>
      <c r="N75" s="240"/>
      <c r="O75" s="240"/>
      <c r="P75" s="240"/>
      <c r="Q75" s="240"/>
      <c r="R75" s="240"/>
      <c r="S75" s="241"/>
      <c r="T75" s="305"/>
      <c r="U75" s="288"/>
      <c r="V75" s="284"/>
      <c r="W75" s="240">
        <v>349779177</v>
      </c>
      <c r="X75" s="240"/>
      <c r="Y75" s="290"/>
      <c r="Z75" s="293" t="s">
        <v>231</v>
      </c>
      <c r="AA75" s="241">
        <v>8329952609</v>
      </c>
      <c r="AB75" s="291" t="s">
        <v>257</v>
      </c>
      <c r="AC75" s="241">
        <v>597</v>
      </c>
      <c r="AD75" s="5"/>
      <c r="AE75" s="241"/>
      <c r="AF75" s="5"/>
      <c r="AG75" s="241"/>
      <c r="AH75" s="311">
        <v>0.04</v>
      </c>
      <c r="AI75" s="241">
        <v>585894</v>
      </c>
      <c r="AJ75" s="241" t="s">
        <v>440</v>
      </c>
      <c r="AK75" s="241" t="s">
        <v>440</v>
      </c>
      <c r="AL75" s="241">
        <v>2</v>
      </c>
      <c r="AM75" s="240">
        <v>955680</v>
      </c>
      <c r="AN75" s="240">
        <v>36818860</v>
      </c>
      <c r="AO75" s="241"/>
      <c r="AP75" s="302"/>
      <c r="AQ75" s="302">
        <v>18.88</v>
      </c>
      <c r="AR75" s="554" t="s">
        <v>148</v>
      </c>
    </row>
    <row r="76" spans="1:44" ht="22.5" customHeight="1" x14ac:dyDescent="0.15">
      <c r="A76">
        <v>71</v>
      </c>
      <c r="B76" s="328" t="s">
        <v>112</v>
      </c>
      <c r="C76" s="327" t="s">
        <v>342</v>
      </c>
      <c r="D76" s="328" t="s">
        <v>338</v>
      </c>
      <c r="E76" s="328" t="s">
        <v>339</v>
      </c>
      <c r="F76" s="241">
        <v>10429483</v>
      </c>
      <c r="G76" s="240">
        <v>1408835</v>
      </c>
      <c r="H76" s="240"/>
      <c r="I76" s="283">
        <v>48544991</v>
      </c>
      <c r="J76" s="352">
        <v>1.5</v>
      </c>
      <c r="K76" s="284">
        <v>60383310</v>
      </c>
      <c r="L76" s="240"/>
      <c r="M76" s="240"/>
      <c r="N76" s="240"/>
      <c r="O76" s="240"/>
      <c r="P76" s="240"/>
      <c r="Q76" s="240"/>
      <c r="R76" s="240"/>
      <c r="S76" s="241"/>
      <c r="T76" s="305"/>
      <c r="U76" s="288"/>
      <c r="V76" s="284"/>
      <c r="W76" s="240">
        <v>60383310</v>
      </c>
      <c r="X76" s="240">
        <v>38332800</v>
      </c>
      <c r="Y76" s="290">
        <v>63.48</v>
      </c>
      <c r="Z76" s="5" t="s">
        <v>450</v>
      </c>
      <c r="AA76" s="241">
        <v>2965</v>
      </c>
      <c r="AB76" s="5"/>
      <c r="AC76" s="241"/>
      <c r="AD76" s="5"/>
      <c r="AE76" s="241"/>
      <c r="AF76" s="5"/>
      <c r="AG76" s="241"/>
      <c r="AH76" s="240">
        <v>20365</v>
      </c>
      <c r="AI76" s="241" t="s">
        <v>440</v>
      </c>
      <c r="AJ76" s="241" t="s">
        <v>440</v>
      </c>
      <c r="AK76" s="241" t="s">
        <v>440</v>
      </c>
      <c r="AL76" s="313">
        <v>0.4</v>
      </c>
      <c r="AM76" s="240">
        <v>164981</v>
      </c>
      <c r="AN76" s="240">
        <v>40255540</v>
      </c>
      <c r="AO76" s="241"/>
      <c r="AP76" s="302"/>
      <c r="AQ76" s="302">
        <v>17.27</v>
      </c>
      <c r="AR76" s="554" t="s">
        <v>148</v>
      </c>
    </row>
    <row r="77" spans="1:44" ht="22.5" customHeight="1" x14ac:dyDescent="0.15">
      <c r="A77" s="6">
        <v>72</v>
      </c>
      <c r="B77" s="328" t="s">
        <v>112</v>
      </c>
      <c r="C77" s="327" t="s">
        <v>344</v>
      </c>
      <c r="D77" s="328" t="s">
        <v>338</v>
      </c>
      <c r="E77" s="328" t="s">
        <v>481</v>
      </c>
      <c r="F77" s="241">
        <v>695298</v>
      </c>
      <c r="G77" s="240">
        <v>4241197</v>
      </c>
      <c r="H77" s="240"/>
      <c r="I77" s="283"/>
      <c r="J77" s="352">
        <v>0.1</v>
      </c>
      <c r="K77" s="284">
        <v>4936496</v>
      </c>
      <c r="L77" s="240">
        <v>693142983</v>
      </c>
      <c r="M77" s="240">
        <v>638975872</v>
      </c>
      <c r="N77" s="240"/>
      <c r="O77" s="240">
        <v>467316136</v>
      </c>
      <c r="P77" s="240">
        <v>693142983</v>
      </c>
      <c r="Q77" s="240"/>
      <c r="R77" s="240">
        <v>1106292008</v>
      </c>
      <c r="S77" s="241"/>
      <c r="T77" s="305"/>
      <c r="U77" s="288">
        <v>93</v>
      </c>
      <c r="V77" s="284">
        <v>1799434991</v>
      </c>
      <c r="W77" s="240">
        <v>1804371487</v>
      </c>
      <c r="X77" s="240">
        <v>1798348450</v>
      </c>
      <c r="Y77" s="290">
        <v>99.67</v>
      </c>
      <c r="Z77" s="5" t="s">
        <v>451</v>
      </c>
      <c r="AA77" s="241">
        <v>477307</v>
      </c>
      <c r="AB77" s="5"/>
      <c r="AC77" s="241"/>
      <c r="AD77" s="5" t="s">
        <v>440</v>
      </c>
      <c r="AE77" s="241"/>
      <c r="AF77" s="5" t="s">
        <v>440</v>
      </c>
      <c r="AG77" s="241"/>
      <c r="AH77" s="240">
        <v>3780</v>
      </c>
      <c r="AI77" s="241" t="s">
        <v>440</v>
      </c>
      <c r="AJ77" s="241" t="s">
        <v>440</v>
      </c>
      <c r="AK77" s="241" t="s">
        <v>440</v>
      </c>
      <c r="AL77" s="241">
        <v>14</v>
      </c>
      <c r="AM77" s="240">
        <v>4929976</v>
      </c>
      <c r="AN77" s="240">
        <v>19381004</v>
      </c>
      <c r="AO77" s="241"/>
      <c r="AP77" s="302"/>
      <c r="AQ77" s="302">
        <v>38.450000000000003</v>
      </c>
      <c r="AR77" s="554" t="s">
        <v>149</v>
      </c>
    </row>
    <row r="78" spans="1:44" ht="22.5" customHeight="1" x14ac:dyDescent="0.15">
      <c r="A78">
        <v>73</v>
      </c>
      <c r="B78" s="331" t="s">
        <v>112</v>
      </c>
      <c r="C78" s="324" t="s">
        <v>197</v>
      </c>
      <c r="D78" s="328" t="s">
        <v>35</v>
      </c>
      <c r="E78" s="328" t="s">
        <v>38</v>
      </c>
      <c r="F78" s="241">
        <v>64662798</v>
      </c>
      <c r="G78" s="240">
        <v>13925012</v>
      </c>
      <c r="H78" s="240"/>
      <c r="I78" s="283">
        <v>12254059</v>
      </c>
      <c r="J78" s="352">
        <v>9.3000000000000007</v>
      </c>
      <c r="K78" s="284">
        <v>90841869</v>
      </c>
      <c r="L78" s="240">
        <v>437171101</v>
      </c>
      <c r="M78" s="240">
        <v>283094269</v>
      </c>
      <c r="N78" s="240">
        <v>124502754</v>
      </c>
      <c r="O78" s="240">
        <v>27578344</v>
      </c>
      <c r="P78" s="240">
        <v>561673855</v>
      </c>
      <c r="Q78" s="240"/>
      <c r="R78" s="240">
        <v>310672613</v>
      </c>
      <c r="S78" s="241">
        <v>46636369</v>
      </c>
      <c r="T78" s="305">
        <v>132264</v>
      </c>
      <c r="U78" s="288">
        <v>72.2</v>
      </c>
      <c r="V78" s="284">
        <v>919115102</v>
      </c>
      <c r="W78" s="240">
        <v>1009956972</v>
      </c>
      <c r="X78" s="240">
        <v>204464747</v>
      </c>
      <c r="Y78" s="290">
        <v>20.239999999999998</v>
      </c>
      <c r="Z78" s="293" t="s">
        <v>262</v>
      </c>
      <c r="AA78" s="241">
        <v>2087</v>
      </c>
      <c r="AB78" s="293" t="s">
        <v>258</v>
      </c>
      <c r="AC78" s="241">
        <v>256</v>
      </c>
      <c r="AD78" s="5"/>
      <c r="AE78" s="241"/>
      <c r="AF78" s="5"/>
      <c r="AG78" s="241"/>
      <c r="AH78" s="240">
        <v>483927</v>
      </c>
      <c r="AI78" s="241">
        <v>3945144</v>
      </c>
      <c r="AJ78" s="241" t="s">
        <v>440</v>
      </c>
      <c r="AK78" s="241" t="s">
        <v>440</v>
      </c>
      <c r="AL78" s="241">
        <v>8</v>
      </c>
      <c r="AM78" s="240">
        <v>2759445</v>
      </c>
      <c r="AN78" s="240">
        <v>12392110</v>
      </c>
      <c r="AO78" s="241"/>
      <c r="AP78" s="302"/>
      <c r="AQ78" s="302">
        <v>62.02</v>
      </c>
      <c r="AR78" s="554" t="s">
        <v>149</v>
      </c>
    </row>
    <row r="79" spans="1:44" ht="22.5" customHeight="1" x14ac:dyDescent="0.15">
      <c r="A79">
        <v>74</v>
      </c>
      <c r="B79" s="331" t="s">
        <v>114</v>
      </c>
      <c r="C79" s="324" t="s">
        <v>340</v>
      </c>
      <c r="D79" s="328" t="s">
        <v>338</v>
      </c>
      <c r="E79" s="328" t="s">
        <v>339</v>
      </c>
      <c r="F79" s="241">
        <v>21554266</v>
      </c>
      <c r="G79" s="240">
        <v>11700180</v>
      </c>
      <c r="H79" s="240">
        <v>2165166</v>
      </c>
      <c r="I79" s="283">
        <v>5448308662</v>
      </c>
      <c r="J79" s="352">
        <v>3.1</v>
      </c>
      <c r="K79" s="284">
        <v>5483728274</v>
      </c>
      <c r="L79" s="240"/>
      <c r="M79" s="240"/>
      <c r="N79" s="240"/>
      <c r="O79" s="240"/>
      <c r="P79" s="240"/>
      <c r="Q79" s="240"/>
      <c r="R79" s="240"/>
      <c r="S79" s="241"/>
      <c r="T79" s="305"/>
      <c r="U79" s="288"/>
      <c r="V79" s="284"/>
      <c r="W79" s="240">
        <v>5483728274</v>
      </c>
      <c r="X79" s="240"/>
      <c r="Y79" s="290"/>
      <c r="Z79" s="5" t="s">
        <v>259</v>
      </c>
      <c r="AA79" s="241">
        <v>46</v>
      </c>
      <c r="AB79" s="5"/>
      <c r="AC79" s="241"/>
      <c r="AD79" s="5"/>
      <c r="AE79" s="241"/>
      <c r="AF79" s="5"/>
      <c r="AG79" s="241"/>
      <c r="AH79" s="240">
        <v>119211484</v>
      </c>
      <c r="AI79" s="241" t="s">
        <v>440</v>
      </c>
      <c r="AJ79" s="241" t="s">
        <v>440</v>
      </c>
      <c r="AK79" s="241" t="s">
        <v>440</v>
      </c>
      <c r="AL79" s="241">
        <v>43</v>
      </c>
      <c r="AM79" s="240">
        <v>14982864</v>
      </c>
      <c r="AN79" s="240">
        <v>1768944604</v>
      </c>
      <c r="AO79" s="241"/>
      <c r="AP79" s="302"/>
      <c r="AQ79" s="302">
        <v>0.39</v>
      </c>
      <c r="AR79" s="554" t="s">
        <v>148</v>
      </c>
    </row>
    <row r="80" spans="1:44" ht="22.5" customHeight="1" x14ac:dyDescent="0.15">
      <c r="A80" s="6">
        <v>75</v>
      </c>
      <c r="B80" s="328" t="s">
        <v>114</v>
      </c>
      <c r="C80" s="327" t="s">
        <v>439</v>
      </c>
      <c r="D80" s="328" t="s">
        <v>338</v>
      </c>
      <c r="E80" s="328" t="s">
        <v>339</v>
      </c>
      <c r="F80" s="241">
        <v>1390597</v>
      </c>
      <c r="G80" s="240">
        <v>286668</v>
      </c>
      <c r="H80" s="240">
        <v>212706</v>
      </c>
      <c r="I80" s="283">
        <v>101786000</v>
      </c>
      <c r="J80" s="352">
        <v>0.2</v>
      </c>
      <c r="K80" s="284">
        <v>103675973</v>
      </c>
      <c r="L80" s="240"/>
      <c r="M80" s="240"/>
      <c r="N80" s="240"/>
      <c r="O80" s="240"/>
      <c r="P80" s="240"/>
      <c r="Q80" s="240"/>
      <c r="R80" s="240"/>
      <c r="S80" s="241"/>
      <c r="T80" s="305"/>
      <c r="U80" s="288"/>
      <c r="V80" s="284"/>
      <c r="W80" s="240">
        <v>103675973</v>
      </c>
      <c r="X80" s="240"/>
      <c r="Y80" s="290"/>
      <c r="Z80" s="5" t="s">
        <v>375</v>
      </c>
      <c r="AA80" s="241">
        <v>5</v>
      </c>
      <c r="AB80" s="5"/>
      <c r="AC80" s="241"/>
      <c r="AD80" s="5"/>
      <c r="AE80" s="241"/>
      <c r="AF80" s="5"/>
      <c r="AG80" s="241"/>
      <c r="AH80" s="240">
        <v>20735194</v>
      </c>
      <c r="AI80" s="241" t="s">
        <v>440</v>
      </c>
      <c r="AJ80" s="241" t="s">
        <v>440</v>
      </c>
      <c r="AK80" s="241" t="s">
        <v>440</v>
      </c>
      <c r="AL80" s="313">
        <v>0.8</v>
      </c>
      <c r="AM80" s="240">
        <v>283267</v>
      </c>
      <c r="AN80" s="240"/>
      <c r="AO80" s="241"/>
      <c r="AP80" s="302"/>
      <c r="AQ80" s="302">
        <v>1.34</v>
      </c>
      <c r="AR80" s="554" t="s">
        <v>148</v>
      </c>
    </row>
    <row r="81" spans="1:44" ht="22.5" customHeight="1" x14ac:dyDescent="0.15">
      <c r="A81">
        <v>76</v>
      </c>
      <c r="B81" s="328" t="s">
        <v>114</v>
      </c>
      <c r="C81" s="327" t="s">
        <v>341</v>
      </c>
      <c r="D81" s="328" t="s">
        <v>338</v>
      </c>
      <c r="E81" s="328" t="s">
        <v>339</v>
      </c>
      <c r="F81" s="241">
        <v>6952989</v>
      </c>
      <c r="G81" s="240">
        <v>3151003</v>
      </c>
      <c r="H81" s="240">
        <v>334253</v>
      </c>
      <c r="I81" s="283">
        <v>55080000</v>
      </c>
      <c r="J81" s="352">
        <v>1</v>
      </c>
      <c r="K81" s="284">
        <v>65518246</v>
      </c>
      <c r="L81" s="240"/>
      <c r="M81" s="240"/>
      <c r="N81" s="240"/>
      <c r="O81" s="240"/>
      <c r="P81" s="240"/>
      <c r="Q81" s="240"/>
      <c r="R81" s="240"/>
      <c r="S81" s="241"/>
      <c r="T81" s="305"/>
      <c r="U81" s="288"/>
      <c r="V81" s="284"/>
      <c r="W81" s="240">
        <v>65518246</v>
      </c>
      <c r="X81" s="240">
        <v>7379200</v>
      </c>
      <c r="Y81" s="290">
        <v>11.26</v>
      </c>
      <c r="Z81" s="5" t="s">
        <v>450</v>
      </c>
      <c r="AA81" s="241">
        <v>1153</v>
      </c>
      <c r="AB81" s="5"/>
      <c r="AC81" s="241"/>
      <c r="AD81" s="5"/>
      <c r="AE81" s="241"/>
      <c r="AF81" s="5"/>
      <c r="AG81" s="241"/>
      <c r="AH81" s="240">
        <v>56824</v>
      </c>
      <c r="AI81" s="241" t="s">
        <v>440</v>
      </c>
      <c r="AJ81" s="241" t="s">
        <v>440</v>
      </c>
      <c r="AK81" s="241" t="s">
        <v>440</v>
      </c>
      <c r="AL81" s="313">
        <v>0.5</v>
      </c>
      <c r="AM81" s="240">
        <v>179011</v>
      </c>
      <c r="AN81" s="240">
        <v>65518246</v>
      </c>
      <c r="AO81" s="241"/>
      <c r="AP81" s="302"/>
      <c r="AQ81" s="302">
        <v>10.61</v>
      </c>
      <c r="AR81" s="554" t="s">
        <v>148</v>
      </c>
    </row>
    <row r="82" spans="1:44" ht="22.5" customHeight="1" x14ac:dyDescent="0.15">
      <c r="A82">
        <v>77</v>
      </c>
      <c r="B82" s="328" t="s">
        <v>114</v>
      </c>
      <c r="C82" s="327" t="s">
        <v>116</v>
      </c>
      <c r="D82" s="328" t="s">
        <v>35</v>
      </c>
      <c r="E82" s="328" t="s">
        <v>36</v>
      </c>
      <c r="F82" s="241">
        <v>5562391</v>
      </c>
      <c r="G82" s="240">
        <v>2263018</v>
      </c>
      <c r="H82" s="240">
        <v>50563</v>
      </c>
      <c r="I82" s="283">
        <v>1125882</v>
      </c>
      <c r="J82" s="352">
        <v>0.8</v>
      </c>
      <c r="K82" s="284">
        <v>9001855</v>
      </c>
      <c r="L82" s="240"/>
      <c r="M82" s="240"/>
      <c r="N82" s="240"/>
      <c r="O82" s="240"/>
      <c r="P82" s="240"/>
      <c r="Q82" s="240"/>
      <c r="R82" s="240"/>
      <c r="S82" s="241"/>
      <c r="T82" s="305"/>
      <c r="U82" s="288"/>
      <c r="V82" s="284"/>
      <c r="W82" s="240">
        <v>9001855</v>
      </c>
      <c r="X82" s="240">
        <v>3100500</v>
      </c>
      <c r="Y82" s="290">
        <v>34.44</v>
      </c>
      <c r="Z82" s="494" t="s">
        <v>241</v>
      </c>
      <c r="AA82" s="241">
        <v>65</v>
      </c>
      <c r="AB82" s="5"/>
      <c r="AC82" s="241"/>
      <c r="AD82" s="5"/>
      <c r="AE82" s="241"/>
      <c r="AF82" s="5"/>
      <c r="AG82" s="241"/>
      <c r="AH82" s="240">
        <v>138490</v>
      </c>
      <c r="AI82" s="241" t="s">
        <v>440</v>
      </c>
      <c r="AJ82" s="241" t="s">
        <v>440</v>
      </c>
      <c r="AK82" s="241" t="s">
        <v>440</v>
      </c>
      <c r="AL82" s="314">
        <v>7.0000000000000007E-2</v>
      </c>
      <c r="AM82" s="240">
        <v>24595</v>
      </c>
      <c r="AN82" s="240"/>
      <c r="AO82" s="241"/>
      <c r="AP82" s="302"/>
      <c r="AQ82" s="302">
        <v>61.79</v>
      </c>
      <c r="AR82" s="554" t="s">
        <v>148</v>
      </c>
    </row>
    <row r="83" spans="1:44" ht="22.5" customHeight="1" x14ac:dyDescent="0.15">
      <c r="A83" s="6">
        <v>78</v>
      </c>
      <c r="B83" s="328" t="s">
        <v>114</v>
      </c>
      <c r="C83" s="327" t="s">
        <v>115</v>
      </c>
      <c r="D83" s="328" t="s">
        <v>87</v>
      </c>
      <c r="E83" s="328" t="s">
        <v>38</v>
      </c>
      <c r="F83" s="241">
        <v>20789437</v>
      </c>
      <c r="G83" s="240">
        <v>6532654</v>
      </c>
      <c r="H83" s="240">
        <v>2528649</v>
      </c>
      <c r="I83" s="283">
        <v>60347901</v>
      </c>
      <c r="J83" s="352">
        <v>2.9</v>
      </c>
      <c r="K83" s="284">
        <v>90198642</v>
      </c>
      <c r="L83" s="240">
        <v>100416152</v>
      </c>
      <c r="M83" s="240">
        <v>203474374</v>
      </c>
      <c r="N83" s="240">
        <v>51591606</v>
      </c>
      <c r="O83" s="240">
        <v>48282406</v>
      </c>
      <c r="P83" s="240">
        <v>152007758</v>
      </c>
      <c r="Q83" s="240"/>
      <c r="R83" s="240">
        <v>251756780</v>
      </c>
      <c r="S83" s="241"/>
      <c r="T83" s="305"/>
      <c r="U83" s="288">
        <v>18</v>
      </c>
      <c r="V83" s="284">
        <v>403764538</v>
      </c>
      <c r="W83" s="240">
        <v>493963180</v>
      </c>
      <c r="X83" s="240"/>
      <c r="Y83" s="290"/>
      <c r="Z83" s="5" t="s">
        <v>259</v>
      </c>
      <c r="AA83" s="241">
        <v>178</v>
      </c>
      <c r="AB83" s="5"/>
      <c r="AC83" s="241"/>
      <c r="AD83" s="5"/>
      <c r="AE83" s="241"/>
      <c r="AF83" s="5"/>
      <c r="AG83" s="241"/>
      <c r="AH83" s="240">
        <v>2775074</v>
      </c>
      <c r="AI83" s="241"/>
      <c r="AJ83" s="241" t="s">
        <v>440</v>
      </c>
      <c r="AK83" s="241" t="s">
        <v>440</v>
      </c>
      <c r="AL83" s="241">
        <v>3</v>
      </c>
      <c r="AM83" s="240">
        <v>1349626</v>
      </c>
      <c r="AN83" s="240">
        <v>23533262</v>
      </c>
      <c r="AO83" s="241">
        <v>5026141094</v>
      </c>
      <c r="AP83" s="302">
        <v>9.83</v>
      </c>
      <c r="AQ83" s="302">
        <v>34.979999999999997</v>
      </c>
      <c r="AR83" s="554" t="s">
        <v>151</v>
      </c>
    </row>
    <row r="84" spans="1:44" ht="22.5" customHeight="1" x14ac:dyDescent="0.15">
      <c r="A84">
        <v>79</v>
      </c>
      <c r="B84" s="328" t="s">
        <v>117</v>
      </c>
      <c r="C84" s="327" t="s">
        <v>336</v>
      </c>
      <c r="D84" s="328" t="s">
        <v>338</v>
      </c>
      <c r="E84" s="328" t="s">
        <v>339</v>
      </c>
      <c r="F84" s="241">
        <v>1571375522</v>
      </c>
      <c r="G84" s="240">
        <v>2216624818</v>
      </c>
      <c r="H84" s="240">
        <v>110319063</v>
      </c>
      <c r="I84" s="283">
        <v>994726922</v>
      </c>
      <c r="J84" s="288">
        <v>226</v>
      </c>
      <c r="K84" s="284">
        <v>4893046326</v>
      </c>
      <c r="L84" s="240"/>
      <c r="M84" s="240"/>
      <c r="N84" s="240"/>
      <c r="O84" s="240"/>
      <c r="P84" s="240"/>
      <c r="Q84" s="240"/>
      <c r="R84" s="240"/>
      <c r="S84" s="241"/>
      <c r="T84" s="305"/>
      <c r="U84" s="288"/>
      <c r="V84" s="284"/>
      <c r="W84" s="240">
        <v>4893046326</v>
      </c>
      <c r="X84" s="240"/>
      <c r="Y84" s="290"/>
      <c r="Z84" s="5" t="s">
        <v>376</v>
      </c>
      <c r="AA84" s="241">
        <v>960</v>
      </c>
      <c r="AB84" s="5"/>
      <c r="AC84" s="241"/>
      <c r="AD84" s="5"/>
      <c r="AE84" s="241"/>
      <c r="AF84" s="5"/>
      <c r="AG84" s="241"/>
      <c r="AH84" s="240">
        <v>5096923</v>
      </c>
      <c r="AI84" s="241" t="s">
        <v>440</v>
      </c>
      <c r="AJ84" s="241" t="s">
        <v>440</v>
      </c>
      <c r="AK84" s="241" t="s">
        <v>440</v>
      </c>
      <c r="AL84" s="241">
        <v>38</v>
      </c>
      <c r="AM84" s="240">
        <v>13368979</v>
      </c>
      <c r="AN84" s="240">
        <v>21650647</v>
      </c>
      <c r="AO84" s="241"/>
      <c r="AP84" s="302"/>
      <c r="AQ84" s="302">
        <v>32.11</v>
      </c>
      <c r="AR84" s="554" t="s">
        <v>148</v>
      </c>
    </row>
    <row r="85" spans="1:44" ht="22.5" customHeight="1" x14ac:dyDescent="0.15">
      <c r="A85">
        <v>80</v>
      </c>
      <c r="B85" s="328" t="s">
        <v>117</v>
      </c>
      <c r="C85" s="327" t="s">
        <v>335</v>
      </c>
      <c r="D85" s="328" t="s">
        <v>338</v>
      </c>
      <c r="E85" s="328" t="s">
        <v>339</v>
      </c>
      <c r="F85" s="241">
        <v>2690806757</v>
      </c>
      <c r="G85" s="240">
        <v>1621706016</v>
      </c>
      <c r="H85" s="240">
        <v>423051072</v>
      </c>
      <c r="I85" s="283">
        <v>1526819079</v>
      </c>
      <c r="J85" s="288">
        <v>387</v>
      </c>
      <c r="K85" s="284">
        <v>6262382925</v>
      </c>
      <c r="L85" s="240"/>
      <c r="M85" s="240"/>
      <c r="N85" s="240"/>
      <c r="O85" s="240"/>
      <c r="P85" s="240"/>
      <c r="Q85" s="240"/>
      <c r="R85" s="240"/>
      <c r="S85" s="241"/>
      <c r="T85" s="305"/>
      <c r="U85" s="288"/>
      <c r="V85" s="284"/>
      <c r="W85" s="240">
        <v>6262382925</v>
      </c>
      <c r="X85" s="240"/>
      <c r="Y85" s="290"/>
      <c r="Z85" s="5" t="s">
        <v>376</v>
      </c>
      <c r="AA85" s="241">
        <v>2120</v>
      </c>
      <c r="AB85" s="5"/>
      <c r="AC85" s="241"/>
      <c r="AD85" s="5"/>
      <c r="AE85" s="241"/>
      <c r="AF85" s="5"/>
      <c r="AG85" s="241"/>
      <c r="AH85" s="240">
        <v>2953954</v>
      </c>
      <c r="AI85" s="241" t="s">
        <v>440</v>
      </c>
      <c r="AJ85" s="241" t="s">
        <v>440</v>
      </c>
      <c r="AK85" s="241" t="s">
        <v>440</v>
      </c>
      <c r="AL85" s="241">
        <v>49</v>
      </c>
      <c r="AM85" s="240">
        <v>17110335</v>
      </c>
      <c r="AN85" s="240">
        <v>16181868</v>
      </c>
      <c r="AO85" s="241"/>
      <c r="AP85" s="302"/>
      <c r="AQ85" s="302">
        <v>42.97</v>
      </c>
      <c r="AR85" s="554" t="s">
        <v>148</v>
      </c>
    </row>
    <row r="86" spans="1:44" ht="22.5" customHeight="1" x14ac:dyDescent="0.15">
      <c r="A86" s="6">
        <v>81</v>
      </c>
      <c r="B86" s="328" t="s">
        <v>117</v>
      </c>
      <c r="C86" s="327" t="s">
        <v>337</v>
      </c>
      <c r="D86" s="328" t="s">
        <v>338</v>
      </c>
      <c r="E86" s="328" t="s">
        <v>339</v>
      </c>
      <c r="F86" s="241">
        <v>25030760</v>
      </c>
      <c r="G86" s="240">
        <v>13181021</v>
      </c>
      <c r="H86" s="240">
        <v>353919</v>
      </c>
      <c r="I86" s="283"/>
      <c r="J86" s="288">
        <v>3.6</v>
      </c>
      <c r="K86" s="284">
        <v>38565700</v>
      </c>
      <c r="L86" s="240"/>
      <c r="M86" s="240"/>
      <c r="N86" s="240"/>
      <c r="O86" s="240"/>
      <c r="P86" s="240"/>
      <c r="Q86" s="240"/>
      <c r="R86" s="240"/>
      <c r="S86" s="241"/>
      <c r="T86" s="305"/>
      <c r="U86" s="288"/>
      <c r="V86" s="284"/>
      <c r="W86" s="240">
        <v>38565700</v>
      </c>
      <c r="X86" s="240"/>
      <c r="Y86" s="290"/>
      <c r="Z86" s="293" t="s">
        <v>452</v>
      </c>
      <c r="AA86" s="241">
        <v>2634</v>
      </c>
      <c r="AB86" s="5"/>
      <c r="AC86" s="241"/>
      <c r="AD86" s="5"/>
      <c r="AE86" s="241"/>
      <c r="AF86" s="5"/>
      <c r="AG86" s="241"/>
      <c r="AH86" s="240">
        <v>14641</v>
      </c>
      <c r="AI86" s="241" t="s">
        <v>440</v>
      </c>
      <c r="AJ86" s="241" t="s">
        <v>440</v>
      </c>
      <c r="AK86" s="241" t="s">
        <v>440</v>
      </c>
      <c r="AL86" s="313">
        <v>0.3</v>
      </c>
      <c r="AM86" s="240">
        <v>105370</v>
      </c>
      <c r="AN86" s="240">
        <v>10712694</v>
      </c>
      <c r="AO86" s="241"/>
      <c r="AP86" s="302"/>
      <c r="AQ86" s="302">
        <v>64.900000000000006</v>
      </c>
      <c r="AR86" s="554" t="s">
        <v>148</v>
      </c>
    </row>
    <row r="87" spans="1:44" ht="18" customHeight="1" x14ac:dyDescent="0.15">
      <c r="B87" s="538" t="s">
        <v>493</v>
      </c>
    </row>
    <row r="88" spans="1:44" s="6" customFormat="1" ht="18" customHeight="1" x14ac:dyDescent="0.15">
      <c r="B88" s="539" t="s">
        <v>494</v>
      </c>
      <c r="C88" s="594"/>
      <c r="X88" s="595"/>
      <c r="Y88" s="596"/>
      <c r="AO88" s="595"/>
      <c r="AP88" s="596"/>
      <c r="AQ88" s="59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67</v>
      </c>
      <c r="G96" s="1" t="s">
        <v>12</v>
      </c>
      <c r="H96" s="1" t="s">
        <v>14</v>
      </c>
      <c r="X96" s="3"/>
      <c r="Y96" s="106"/>
      <c r="AO96" s="3"/>
      <c r="AP96" s="106"/>
      <c r="AQ96" s="106"/>
    </row>
    <row r="97" spans="5:43" x14ac:dyDescent="0.15">
      <c r="E97" s="3" t="s">
        <v>148</v>
      </c>
      <c r="F97" s="106">
        <f>AQ98</f>
        <v>25.754450913187664</v>
      </c>
      <c r="G97" s="106">
        <f>Y98</f>
        <v>54.083124999999995</v>
      </c>
      <c r="H97" s="106" t="e">
        <f>AP98</f>
        <v>#DIV/0!</v>
      </c>
      <c r="X97" s="3"/>
      <c r="Y97" s="106" t="s">
        <v>516</v>
      </c>
      <c r="AO97" s="3"/>
      <c r="AP97" s="106" t="s">
        <v>517</v>
      </c>
      <c r="AQ97" s="106" t="s">
        <v>518</v>
      </c>
    </row>
    <row r="98" spans="5:43" x14ac:dyDescent="0.15">
      <c r="E98" s="3" t="s">
        <v>152</v>
      </c>
      <c r="F98" s="106">
        <f t="shared" ref="F98:F100" si="0">AQ99</f>
        <v>39.962380952380947</v>
      </c>
      <c r="G98" s="106">
        <f t="shared" ref="G98:G100" si="1">Y99</f>
        <v>28.762352941176474</v>
      </c>
      <c r="H98" s="106" t="e">
        <f t="shared" ref="H98:H100" si="2">AP99</f>
        <v>#DIV/0!</v>
      </c>
      <c r="X98" s="3" t="s">
        <v>148</v>
      </c>
      <c r="Y98" s="106">
        <f>AVERAGEIF($AR$6:$AR$86,"=直接行政サービス事業（直接型）",Y$6:Y$86)</f>
        <v>54.083124999999995</v>
      </c>
      <c r="AO98" s="3" t="s">
        <v>148</v>
      </c>
      <c r="AP98" s="106" t="e">
        <f>AVERAGEIF($AR$6:$AR$86,"=直接行政サービス事業（直接型）",AP$6:AP$86)</f>
        <v>#DIV/0!</v>
      </c>
      <c r="AQ98" s="106">
        <f>AVERAGEIF($AR$6:$AR$86,"=直接行政サービス事業（直接型）",AQ$6:AQ$86)</f>
        <v>25.754450913187664</v>
      </c>
    </row>
    <row r="99" spans="5:43" x14ac:dyDescent="0.15">
      <c r="E99" s="3" t="s">
        <v>153</v>
      </c>
      <c r="F99" s="106">
        <f t="shared" si="0"/>
        <v>33.9</v>
      </c>
      <c r="G99" s="106" t="e">
        <f t="shared" si="1"/>
        <v>#DIV/0!</v>
      </c>
      <c r="H99" s="106">
        <f t="shared" si="2"/>
        <v>4.2183333333333337</v>
      </c>
      <c r="X99" s="3" t="s">
        <v>152</v>
      </c>
      <c r="Y99" s="106">
        <f>AVERAGEIF($AR$6:$AR$86,"=直接行政サービス事業（間接型）",Y$6:Y$86)</f>
        <v>28.762352941176474</v>
      </c>
      <c r="AO99" s="3" t="s">
        <v>152</v>
      </c>
      <c r="AP99" s="106" t="e">
        <f>AVERAGEIF($AR$6:$AR$86,"=直接行政サービス事業（間接型）",AP$6:AP$86)</f>
        <v>#DIV/0!</v>
      </c>
      <c r="AQ99" s="106">
        <f>AVERAGEIF($AR$6:$AR$86,"=直接行政サービス事業（間接型）",AQ$6:AQ$86)</f>
        <v>39.962380952380947</v>
      </c>
    </row>
    <row r="100" spans="5:43" x14ac:dyDescent="0.15">
      <c r="E100" s="3" t="s">
        <v>154</v>
      </c>
      <c r="F100" s="106">
        <f t="shared" si="0"/>
        <v>21.52</v>
      </c>
      <c r="G100" s="106">
        <f t="shared" si="1"/>
        <v>49.74</v>
      </c>
      <c r="H100" s="106">
        <f t="shared" si="2"/>
        <v>17.232857142857142</v>
      </c>
      <c r="X100" s="3" t="s">
        <v>153</v>
      </c>
      <c r="Y100" s="106" t="e">
        <f>AVERAGEIF($AR$6:$AR$86,"=資源配分事業（直接型）",Y$6:Y$86)</f>
        <v>#DIV/0!</v>
      </c>
      <c r="AO100" s="3" t="s">
        <v>153</v>
      </c>
      <c r="AP100" s="106">
        <f>AVERAGEIF($AR$6:$AR$86,"=資源配分事業（直接型）",AP$6:AP$86)</f>
        <v>4.2183333333333337</v>
      </c>
      <c r="AQ100" s="106">
        <f>AVERAGEIF($AR$6:$AR$86,"=資源配分事業（直接型）",AQ$6:AQ$86)</f>
        <v>33.9</v>
      </c>
    </row>
    <row r="101" spans="5:43" x14ac:dyDescent="0.15">
      <c r="X101" s="3" t="s">
        <v>154</v>
      </c>
      <c r="Y101" s="106">
        <f>AVERAGEIF($AR$6:$AR$86,"=資源配分事業（間接型）",Y$6:Y$86)</f>
        <v>49.74</v>
      </c>
      <c r="AO101" s="3" t="s">
        <v>154</v>
      </c>
      <c r="AP101" s="106">
        <f>AVERAGEIF($AR$6:$AR$86,"=資源配分事業（間接型）",AP$6:AP$86)</f>
        <v>17.232857142857142</v>
      </c>
      <c r="AQ101" s="106">
        <f>AVERAGEIF($AR$6:$AR$86,"=資源配分事業（間接型）",AQ$6:AQ$86)</f>
        <v>21.52</v>
      </c>
    </row>
  </sheetData>
  <mergeCells count="28">
    <mergeCell ref="AO3:AO4"/>
    <mergeCell ref="AP3:AP4"/>
    <mergeCell ref="AQ3:AQ4"/>
    <mergeCell ref="AR3:AR5"/>
    <mergeCell ref="AI3:AI4"/>
    <mergeCell ref="AJ3:AJ4"/>
    <mergeCell ref="AK3:AK4"/>
    <mergeCell ref="AL3:AL4"/>
    <mergeCell ref="AM3:AM4"/>
    <mergeCell ref="AN3:AN4"/>
    <mergeCell ref="AH3:AH4"/>
    <mergeCell ref="W3:W4"/>
    <mergeCell ref="X3:X4"/>
    <mergeCell ref="Y3:Y4"/>
    <mergeCell ref="Z3:Z4"/>
    <mergeCell ref="AA3:AA4"/>
    <mergeCell ref="AB3:AB4"/>
    <mergeCell ref="AC3:AC4"/>
    <mergeCell ref="AD3:AD4"/>
    <mergeCell ref="AE3:AE4"/>
    <mergeCell ref="AF3:AF4"/>
    <mergeCell ref="AG3:AG4"/>
    <mergeCell ref="L3:V3"/>
    <mergeCell ref="B3:B4"/>
    <mergeCell ref="C3:C4"/>
    <mergeCell ref="D3:D4"/>
    <mergeCell ref="E3:E4"/>
    <mergeCell ref="F3:K3"/>
  </mergeCells>
  <phoneticPr fontId="2"/>
  <pageMargins left="0.25" right="0.25" top="0.75" bottom="0.75" header="0.3" footer="0.3"/>
  <pageSetup paperSize="8" scale="38" fitToWidth="0" orientation="landscape" r:id="rId1"/>
  <colBreaks count="1" manualBreakCount="1">
    <brk id="31" max="8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85" zoomScaleSheetLayoutView="70" workbookViewId="0">
      <pane xSplit="3" ySplit="5" topLeftCell="V6" activePane="bottomRight" state="frozen"/>
      <selection activeCell="C72" sqref="C72:F73"/>
      <selection pane="topRight" activeCell="C72" sqref="C72:F73"/>
      <selection pane="bottomLeft" activeCell="C72" sqref="C72:F73"/>
      <selection pane="bottomRight" activeCell="A2" sqref="A2:XFD2"/>
    </sheetView>
  </sheetViews>
  <sheetFormatPr defaultRowHeight="13.5"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15.5" customWidth="1"/>
    <col min="42" max="43" width="15.375" customWidth="1"/>
    <col min="44" max="44" width="32.375" customWidth="1"/>
  </cols>
  <sheetData>
    <row r="1" spans="1:44" x14ac:dyDescent="0.15">
      <c r="B1" t="s">
        <v>487</v>
      </c>
      <c r="E1" s="2"/>
      <c r="G1" s="2"/>
      <c r="I1" s="2"/>
      <c r="K1" s="2"/>
      <c r="M1" s="2"/>
      <c r="O1" s="2"/>
      <c r="Q1" s="2"/>
      <c r="S1" s="2"/>
      <c r="U1" s="2"/>
      <c r="W1" s="2"/>
      <c r="Y1" s="2"/>
      <c r="AA1" s="2"/>
      <c r="AC1" s="2"/>
      <c r="AE1" s="2"/>
      <c r="AG1" s="2"/>
      <c r="AI1" s="2"/>
      <c r="AK1" s="2"/>
      <c r="AM1" s="2"/>
      <c r="AO1" s="2"/>
      <c r="AQ1" s="2"/>
    </row>
    <row r="2" spans="1:44" ht="14.25" x14ac:dyDescent="0.15">
      <c r="C2" s="272"/>
      <c r="D2" s="28"/>
      <c r="E2" s="28"/>
      <c r="F2" s="273" t="s">
        <v>26</v>
      </c>
      <c r="G2" s="273" t="s">
        <v>26</v>
      </c>
      <c r="H2" s="273" t="s">
        <v>26</v>
      </c>
      <c r="I2" s="273" t="s">
        <v>26</v>
      </c>
      <c r="J2" s="273" t="s">
        <v>27</v>
      </c>
      <c r="K2" s="273" t="s">
        <v>26</v>
      </c>
      <c r="L2" s="273"/>
      <c r="M2" s="273"/>
      <c r="N2" s="273"/>
      <c r="O2" s="273"/>
      <c r="P2" s="273" t="s">
        <v>26</v>
      </c>
      <c r="Q2" s="273" t="s">
        <v>26</v>
      </c>
      <c r="R2" s="273" t="s">
        <v>26</v>
      </c>
      <c r="S2" s="273" t="s">
        <v>26</v>
      </c>
      <c r="T2" s="273"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301</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49" t="s">
        <v>3</v>
      </c>
      <c r="H4" s="549" t="s">
        <v>309</v>
      </c>
      <c r="I4" s="275" t="s">
        <v>5</v>
      </c>
      <c r="J4" s="276" t="s">
        <v>1</v>
      </c>
      <c r="K4" s="277" t="s">
        <v>310</v>
      </c>
      <c r="L4" s="549" t="s">
        <v>311</v>
      </c>
      <c r="M4" s="549" t="s">
        <v>312</v>
      </c>
      <c r="N4" s="549" t="s">
        <v>83</v>
      </c>
      <c r="O4" s="549" t="s">
        <v>84</v>
      </c>
      <c r="P4" s="550" t="s">
        <v>313</v>
      </c>
      <c r="Q4" s="550" t="s">
        <v>7</v>
      </c>
      <c r="R4" s="550" t="s">
        <v>314</v>
      </c>
      <c r="S4" s="549" t="s">
        <v>9</v>
      </c>
      <c r="T4" s="540" t="s">
        <v>498</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48"/>
      <c r="C5" s="112">
        <v>1</v>
      </c>
      <c r="D5" s="548">
        <v>2</v>
      </c>
      <c r="E5" s="112">
        <v>3</v>
      </c>
      <c r="F5" s="112">
        <v>4</v>
      </c>
      <c r="G5" s="548">
        <v>5</v>
      </c>
      <c r="H5" s="112">
        <v>6</v>
      </c>
      <c r="I5" s="278">
        <v>7</v>
      </c>
      <c r="J5" s="279">
        <v>8</v>
      </c>
      <c r="K5" s="198" t="s">
        <v>316</v>
      </c>
      <c r="L5" s="112">
        <v>10</v>
      </c>
      <c r="M5" s="548">
        <v>11</v>
      </c>
      <c r="N5" s="112">
        <v>12</v>
      </c>
      <c r="O5" s="112">
        <v>13</v>
      </c>
      <c r="P5" s="548" t="s">
        <v>317</v>
      </c>
      <c r="Q5" s="112">
        <v>15</v>
      </c>
      <c r="R5" s="112" t="s">
        <v>318</v>
      </c>
      <c r="S5" s="548">
        <v>17</v>
      </c>
      <c r="T5" s="278">
        <v>18</v>
      </c>
      <c r="U5" s="280">
        <v>19</v>
      </c>
      <c r="V5" s="281" t="s">
        <v>319</v>
      </c>
      <c r="W5" s="112" t="s">
        <v>320</v>
      </c>
      <c r="X5" s="112">
        <v>22</v>
      </c>
      <c r="Y5" s="548" t="s">
        <v>321</v>
      </c>
      <c r="Z5" s="112">
        <v>24</v>
      </c>
      <c r="AA5" s="112">
        <v>25</v>
      </c>
      <c r="AB5" s="548">
        <v>26</v>
      </c>
      <c r="AC5" s="112">
        <v>27</v>
      </c>
      <c r="AD5" s="112">
        <v>28</v>
      </c>
      <c r="AE5" s="548">
        <v>29</v>
      </c>
      <c r="AF5" s="112">
        <v>30</v>
      </c>
      <c r="AG5" s="112">
        <v>31</v>
      </c>
      <c r="AH5" s="548" t="s">
        <v>322</v>
      </c>
      <c r="AI5" s="112" t="s">
        <v>323</v>
      </c>
      <c r="AJ5" s="112" t="s">
        <v>324</v>
      </c>
      <c r="AK5" s="548" t="s">
        <v>325</v>
      </c>
      <c r="AL5" s="112">
        <v>36</v>
      </c>
      <c r="AM5" s="112">
        <v>37</v>
      </c>
      <c r="AN5" s="548">
        <v>38</v>
      </c>
      <c r="AO5" s="112">
        <v>39</v>
      </c>
      <c r="AP5" s="112" t="s">
        <v>326</v>
      </c>
      <c r="AQ5" s="315" t="s">
        <v>378</v>
      </c>
      <c r="AR5" s="676"/>
    </row>
    <row r="6" spans="1:44" ht="22.5" customHeight="1" x14ac:dyDescent="0.15">
      <c r="A6">
        <v>1</v>
      </c>
      <c r="B6" s="323" t="s">
        <v>37</v>
      </c>
      <c r="C6" s="324" t="s">
        <v>190</v>
      </c>
      <c r="D6" s="325" t="s">
        <v>35</v>
      </c>
      <c r="E6" s="326" t="s">
        <v>36</v>
      </c>
      <c r="F6" s="240">
        <v>107755014</v>
      </c>
      <c r="G6" s="240">
        <v>31283612</v>
      </c>
      <c r="H6" s="240">
        <v>22722419</v>
      </c>
      <c r="I6" s="283">
        <v>1397964063</v>
      </c>
      <c r="J6" s="285">
        <v>15.1</v>
      </c>
      <c r="K6" s="284">
        <v>1559725109</v>
      </c>
      <c r="L6" s="240"/>
      <c r="M6" s="240"/>
      <c r="N6" s="240"/>
      <c r="O6" s="240"/>
      <c r="P6" s="240"/>
      <c r="Q6" s="240"/>
      <c r="R6" s="240"/>
      <c r="S6" s="240"/>
      <c r="T6" s="283"/>
      <c r="U6" s="288"/>
      <c r="V6" s="284"/>
      <c r="W6" s="240">
        <v>1559725109</v>
      </c>
      <c r="X6" s="240"/>
      <c r="Y6" s="290"/>
      <c r="Z6" s="291" t="s">
        <v>228</v>
      </c>
      <c r="AA6" s="240">
        <v>824</v>
      </c>
      <c r="AB6" s="4"/>
      <c r="AC6" s="240"/>
      <c r="AD6" s="4"/>
      <c r="AE6" s="240"/>
      <c r="AF6" s="4"/>
      <c r="AG6" s="240"/>
      <c r="AH6" s="240">
        <v>1892870</v>
      </c>
      <c r="AI6" s="240" t="s">
        <v>440</v>
      </c>
      <c r="AJ6" s="240" t="s">
        <v>440</v>
      </c>
      <c r="AK6" s="240" t="s">
        <v>440</v>
      </c>
      <c r="AL6" s="240">
        <v>12</v>
      </c>
      <c r="AM6" s="240">
        <v>4273219</v>
      </c>
      <c r="AN6" s="240">
        <v>103020152</v>
      </c>
      <c r="AO6" s="241"/>
      <c r="AP6" s="302"/>
      <c r="AQ6" s="302">
        <v>6.91</v>
      </c>
      <c r="AR6" s="503" t="s">
        <v>148</v>
      </c>
    </row>
    <row r="7" spans="1:44" ht="22.5" customHeight="1" x14ac:dyDescent="0.15">
      <c r="A7">
        <v>2</v>
      </c>
      <c r="B7" s="323" t="s">
        <v>37</v>
      </c>
      <c r="C7" s="324" t="s">
        <v>191</v>
      </c>
      <c r="D7" s="325" t="s">
        <v>35</v>
      </c>
      <c r="E7" s="326" t="s">
        <v>36</v>
      </c>
      <c r="F7" s="240">
        <v>71172400</v>
      </c>
      <c r="G7" s="240">
        <v>11644748</v>
      </c>
      <c r="H7" s="240">
        <v>23584319</v>
      </c>
      <c r="I7" s="283">
        <v>694987235</v>
      </c>
      <c r="J7" s="285">
        <v>10</v>
      </c>
      <c r="K7" s="284">
        <v>801388703</v>
      </c>
      <c r="L7" s="240"/>
      <c r="M7" s="240"/>
      <c r="N7" s="240"/>
      <c r="O7" s="240"/>
      <c r="P7" s="240"/>
      <c r="Q7" s="240"/>
      <c r="R7" s="240"/>
      <c r="S7" s="240"/>
      <c r="T7" s="283"/>
      <c r="U7" s="288"/>
      <c r="V7" s="284"/>
      <c r="W7" s="240">
        <v>801388703</v>
      </c>
      <c r="X7" s="240">
        <v>636069700</v>
      </c>
      <c r="Y7" s="290">
        <v>79.37</v>
      </c>
      <c r="Z7" s="5" t="s">
        <v>229</v>
      </c>
      <c r="AA7" s="240">
        <v>509988</v>
      </c>
      <c r="AB7" s="4"/>
      <c r="AC7" s="240"/>
      <c r="AD7" s="4"/>
      <c r="AE7" s="240"/>
      <c r="AF7" s="4"/>
      <c r="AG7" s="240"/>
      <c r="AH7" s="240">
        <v>1571</v>
      </c>
      <c r="AI7" s="240" t="s">
        <v>440</v>
      </c>
      <c r="AJ7" s="240" t="s">
        <v>440</v>
      </c>
      <c r="AK7" s="240" t="s">
        <v>440</v>
      </c>
      <c r="AL7" s="240">
        <v>6</v>
      </c>
      <c r="AM7" s="240">
        <v>2195585</v>
      </c>
      <c r="AN7" s="240">
        <v>80138870</v>
      </c>
      <c r="AO7" s="240"/>
      <c r="AP7" s="302"/>
      <c r="AQ7" s="302">
        <v>8.8800000000000008</v>
      </c>
      <c r="AR7" s="503" t="s">
        <v>148</v>
      </c>
    </row>
    <row r="8" spans="1:44" ht="22.5" customHeight="1" x14ac:dyDescent="0.15">
      <c r="A8">
        <v>3</v>
      </c>
      <c r="B8" s="323" t="s">
        <v>37</v>
      </c>
      <c r="C8" s="324" t="s">
        <v>189</v>
      </c>
      <c r="D8" s="325" t="s">
        <v>35</v>
      </c>
      <c r="E8" s="326" t="s">
        <v>36</v>
      </c>
      <c r="F8" s="240">
        <v>24198616</v>
      </c>
      <c r="G8" s="240">
        <v>12597500</v>
      </c>
      <c r="H8" s="240">
        <v>25513945</v>
      </c>
      <c r="I8" s="283">
        <v>292280466</v>
      </c>
      <c r="J8" s="285">
        <v>3.4</v>
      </c>
      <c r="K8" s="284">
        <v>354590528</v>
      </c>
      <c r="L8" s="240"/>
      <c r="M8" s="240"/>
      <c r="N8" s="240"/>
      <c r="O8" s="240"/>
      <c r="P8" s="240"/>
      <c r="Q8" s="240"/>
      <c r="R8" s="240"/>
      <c r="S8" s="240"/>
      <c r="T8" s="283"/>
      <c r="U8" s="288"/>
      <c r="V8" s="284"/>
      <c r="W8" s="240">
        <v>354590528</v>
      </c>
      <c r="X8" s="240">
        <v>135525400</v>
      </c>
      <c r="Y8" s="290">
        <v>38.22</v>
      </c>
      <c r="Z8" s="494" t="s">
        <v>229</v>
      </c>
      <c r="AA8" s="240">
        <v>103800</v>
      </c>
      <c r="AB8" s="4"/>
      <c r="AC8" s="240"/>
      <c r="AD8" s="4"/>
      <c r="AE8" s="240"/>
      <c r="AF8" s="4"/>
      <c r="AG8" s="240"/>
      <c r="AH8" s="240">
        <v>3416</v>
      </c>
      <c r="AI8" s="240" t="s">
        <v>440</v>
      </c>
      <c r="AJ8" s="240" t="s">
        <v>440</v>
      </c>
      <c r="AK8" s="240" t="s">
        <v>440</v>
      </c>
      <c r="AL8" s="240">
        <v>2</v>
      </c>
      <c r="AM8" s="240">
        <v>971480</v>
      </c>
      <c r="AN8" s="240">
        <v>104291331</v>
      </c>
      <c r="AO8" s="241"/>
      <c r="AP8" s="302"/>
      <c r="AQ8" s="302">
        <v>6.82</v>
      </c>
      <c r="AR8" s="503" t="s">
        <v>148</v>
      </c>
    </row>
    <row r="9" spans="1:44" ht="22.5" customHeight="1" x14ac:dyDescent="0.15">
      <c r="A9">
        <v>4</v>
      </c>
      <c r="B9" s="323" t="s">
        <v>37</v>
      </c>
      <c r="C9" s="324" t="s">
        <v>223</v>
      </c>
      <c r="D9" s="325" t="s">
        <v>35</v>
      </c>
      <c r="E9" s="326" t="s">
        <v>36</v>
      </c>
      <c r="F9" s="240">
        <v>54091024</v>
      </c>
      <c r="G9" s="240">
        <v>16786710</v>
      </c>
      <c r="H9" s="240"/>
      <c r="I9" s="283">
        <v>20405534763</v>
      </c>
      <c r="J9" s="285">
        <v>7.6</v>
      </c>
      <c r="K9" s="284">
        <v>20476412497</v>
      </c>
      <c r="L9" s="240"/>
      <c r="M9" s="240"/>
      <c r="N9" s="240"/>
      <c r="O9" s="240"/>
      <c r="P9" s="240"/>
      <c r="Q9" s="240"/>
      <c r="R9" s="240"/>
      <c r="S9" s="240"/>
      <c r="T9" s="283"/>
      <c r="U9" s="288"/>
      <c r="V9" s="284"/>
      <c r="W9" s="240">
        <v>20476412497</v>
      </c>
      <c r="X9" s="240"/>
      <c r="Y9" s="290"/>
      <c r="Z9" s="5" t="s">
        <v>230</v>
      </c>
      <c r="AA9" s="240">
        <v>4</v>
      </c>
      <c r="AB9" s="4"/>
      <c r="AC9" s="240"/>
      <c r="AD9" s="4"/>
      <c r="AE9" s="240"/>
      <c r="AF9" s="4"/>
      <c r="AG9" s="240"/>
      <c r="AH9" s="240">
        <v>5119103124</v>
      </c>
      <c r="AI9" s="240" t="s">
        <v>440</v>
      </c>
      <c r="AJ9" s="240" t="s">
        <v>440</v>
      </c>
      <c r="AK9" s="240" t="s">
        <v>440</v>
      </c>
      <c r="AL9" s="240">
        <v>161</v>
      </c>
      <c r="AM9" s="240">
        <v>56099760</v>
      </c>
      <c r="AN9" s="240">
        <v>2694264802</v>
      </c>
      <c r="AO9" s="241"/>
      <c r="AP9" s="302"/>
      <c r="AQ9" s="302">
        <v>0.26</v>
      </c>
      <c r="AR9" s="503" t="s">
        <v>148</v>
      </c>
    </row>
    <row r="10" spans="1:44" ht="22.5" customHeight="1" x14ac:dyDescent="0.15">
      <c r="A10">
        <v>5</v>
      </c>
      <c r="B10" s="328" t="s">
        <v>37</v>
      </c>
      <c r="C10" s="327" t="s">
        <v>377</v>
      </c>
      <c r="D10" s="328" t="s">
        <v>338</v>
      </c>
      <c r="E10" s="328" t="s">
        <v>339</v>
      </c>
      <c r="F10" s="240">
        <v>73307572</v>
      </c>
      <c r="G10" s="240">
        <v>188511650</v>
      </c>
      <c r="H10" s="240"/>
      <c r="I10" s="283">
        <v>173557701</v>
      </c>
      <c r="J10" s="285">
        <v>10.3</v>
      </c>
      <c r="K10" s="284">
        <v>435376923</v>
      </c>
      <c r="L10" s="240"/>
      <c r="M10" s="240"/>
      <c r="N10" s="240"/>
      <c r="O10" s="240"/>
      <c r="P10" s="240"/>
      <c r="Q10" s="240"/>
      <c r="R10" s="240"/>
      <c r="S10" s="240"/>
      <c r="T10" s="283"/>
      <c r="U10" s="288"/>
      <c r="V10" s="284"/>
      <c r="W10" s="240">
        <v>435376923</v>
      </c>
      <c r="X10" s="240">
        <v>351897000</v>
      </c>
      <c r="Y10" s="290">
        <v>80.83</v>
      </c>
      <c r="Z10" s="5" t="s">
        <v>359</v>
      </c>
      <c r="AA10" s="240">
        <v>18046</v>
      </c>
      <c r="AB10" s="4"/>
      <c r="AC10" s="240"/>
      <c r="AD10" s="4"/>
      <c r="AE10" s="240"/>
      <c r="AF10" s="4"/>
      <c r="AG10" s="240"/>
      <c r="AH10" s="240">
        <v>24125</v>
      </c>
      <c r="AI10" s="240" t="s">
        <v>440</v>
      </c>
      <c r="AJ10" s="240" t="s">
        <v>440</v>
      </c>
      <c r="AK10" s="240" t="s">
        <v>440</v>
      </c>
      <c r="AL10" s="240">
        <v>3</v>
      </c>
      <c r="AM10" s="240">
        <v>1192813</v>
      </c>
      <c r="AN10" s="240">
        <v>42269604</v>
      </c>
      <c r="AO10" s="241"/>
      <c r="AP10" s="302"/>
      <c r="AQ10" s="302">
        <v>16.84</v>
      </c>
      <c r="AR10" s="503" t="s">
        <v>148</v>
      </c>
    </row>
    <row r="11" spans="1:44" ht="22.5" customHeight="1" x14ac:dyDescent="0.15">
      <c r="A11">
        <v>6</v>
      </c>
      <c r="B11" s="328" t="s">
        <v>37</v>
      </c>
      <c r="C11" s="327" t="s">
        <v>461</v>
      </c>
      <c r="D11" s="328" t="s">
        <v>338</v>
      </c>
      <c r="E11" s="328" t="s">
        <v>36</v>
      </c>
      <c r="F11" s="240">
        <v>108893772</v>
      </c>
      <c r="G11" s="240"/>
      <c r="H11" s="240"/>
      <c r="I11" s="283">
        <v>7343313190</v>
      </c>
      <c r="J11" s="285">
        <v>15.3</v>
      </c>
      <c r="K11" s="284">
        <v>7452206962</v>
      </c>
      <c r="L11" s="240"/>
      <c r="M11" s="240"/>
      <c r="N11" s="240"/>
      <c r="O11" s="240"/>
      <c r="P11" s="240"/>
      <c r="Q11" s="240"/>
      <c r="R11" s="240"/>
      <c r="S11" s="240"/>
      <c r="T11" s="283"/>
      <c r="U11" s="288"/>
      <c r="V11" s="284"/>
      <c r="W11" s="240">
        <v>7452206962</v>
      </c>
      <c r="X11" s="240"/>
      <c r="Y11" s="290"/>
      <c r="Z11" s="294" t="s">
        <v>384</v>
      </c>
      <c r="AA11" s="240">
        <v>1751396</v>
      </c>
      <c r="AB11" s="4"/>
      <c r="AC11" s="240"/>
      <c r="AD11" s="4"/>
      <c r="AE11" s="240"/>
      <c r="AF11" s="4"/>
      <c r="AG11" s="240"/>
      <c r="AH11" s="240">
        <v>4255</v>
      </c>
      <c r="AI11" s="240" t="s">
        <v>440</v>
      </c>
      <c r="AJ11" s="240" t="s">
        <v>440</v>
      </c>
      <c r="AK11" s="240" t="s">
        <v>440</v>
      </c>
      <c r="AL11" s="240">
        <v>58</v>
      </c>
      <c r="AM11" s="240">
        <v>20417005</v>
      </c>
      <c r="AN11" s="240">
        <v>487072350</v>
      </c>
      <c r="AO11" s="240"/>
      <c r="AP11" s="302"/>
      <c r="AQ11" s="302">
        <v>1.46</v>
      </c>
      <c r="AR11" s="503" t="s">
        <v>148</v>
      </c>
    </row>
    <row r="12" spans="1:44" ht="22.5" customHeight="1" x14ac:dyDescent="0.15">
      <c r="A12">
        <v>7</v>
      </c>
      <c r="B12" s="323" t="s">
        <v>37</v>
      </c>
      <c r="C12" s="324" t="s">
        <v>187</v>
      </c>
      <c r="D12" s="325" t="s">
        <v>35</v>
      </c>
      <c r="E12" s="326" t="s">
        <v>38</v>
      </c>
      <c r="F12" s="240">
        <v>33451028</v>
      </c>
      <c r="G12" s="240">
        <v>25014552</v>
      </c>
      <c r="H12" s="240">
        <v>7053855</v>
      </c>
      <c r="I12" s="283"/>
      <c r="J12" s="285">
        <v>4.7</v>
      </c>
      <c r="K12" s="284">
        <v>65519435</v>
      </c>
      <c r="L12" s="240">
        <v>682135020</v>
      </c>
      <c r="M12" s="240">
        <v>1078331307</v>
      </c>
      <c r="N12" s="240">
        <v>251754902</v>
      </c>
      <c r="O12" s="240">
        <v>122845120</v>
      </c>
      <c r="P12" s="240">
        <v>933889922</v>
      </c>
      <c r="Q12" s="240">
        <v>4204412</v>
      </c>
      <c r="R12" s="240">
        <v>1201176427</v>
      </c>
      <c r="S12" s="240">
        <v>135609784</v>
      </c>
      <c r="T12" s="283"/>
      <c r="U12" s="288">
        <v>188</v>
      </c>
      <c r="V12" s="284">
        <v>2274880545</v>
      </c>
      <c r="W12" s="240">
        <v>2340399980</v>
      </c>
      <c r="X12" s="240">
        <v>33421255</v>
      </c>
      <c r="Y12" s="290">
        <v>1.43</v>
      </c>
      <c r="Z12" s="293" t="s">
        <v>231</v>
      </c>
      <c r="AA12" s="240">
        <v>316280</v>
      </c>
      <c r="AB12" s="4"/>
      <c r="AC12" s="240"/>
      <c r="AD12" s="4"/>
      <c r="AE12" s="240"/>
      <c r="AF12" s="4"/>
      <c r="AG12" s="240"/>
      <c r="AH12" s="240">
        <v>7399</v>
      </c>
      <c r="AI12" s="240" t="s">
        <v>440</v>
      </c>
      <c r="AJ12" s="240" t="s">
        <v>440</v>
      </c>
      <c r="AK12" s="240" t="s">
        <v>440</v>
      </c>
      <c r="AL12" s="240">
        <v>18</v>
      </c>
      <c r="AM12" s="240">
        <v>6412054</v>
      </c>
      <c r="AN12" s="240">
        <v>12145303</v>
      </c>
      <c r="AO12" s="241"/>
      <c r="AP12" s="302"/>
      <c r="AQ12" s="302">
        <v>41.51</v>
      </c>
      <c r="AR12" s="503" t="s">
        <v>149</v>
      </c>
    </row>
    <row r="13" spans="1:44" ht="22.5" customHeight="1" x14ac:dyDescent="0.15">
      <c r="A13">
        <v>8</v>
      </c>
      <c r="B13" s="323" t="s">
        <v>37</v>
      </c>
      <c r="C13" s="324" t="s">
        <v>188</v>
      </c>
      <c r="D13" s="325" t="s">
        <v>35</v>
      </c>
      <c r="E13" s="326" t="s">
        <v>38</v>
      </c>
      <c r="F13" s="240">
        <v>2846896</v>
      </c>
      <c r="G13" s="240">
        <v>1115996</v>
      </c>
      <c r="H13" s="240"/>
      <c r="I13" s="283"/>
      <c r="J13" s="285">
        <v>0.4</v>
      </c>
      <c r="K13" s="284">
        <v>3962892</v>
      </c>
      <c r="L13" s="240">
        <v>349706020</v>
      </c>
      <c r="M13" s="240">
        <v>36484286</v>
      </c>
      <c r="N13" s="240">
        <v>53396260</v>
      </c>
      <c r="O13" s="240">
        <v>26118173</v>
      </c>
      <c r="P13" s="240">
        <v>403102280</v>
      </c>
      <c r="Q13" s="240">
        <v>1365267</v>
      </c>
      <c r="R13" s="240">
        <v>62602459</v>
      </c>
      <c r="S13" s="240">
        <v>7201</v>
      </c>
      <c r="T13" s="283"/>
      <c r="U13" s="288">
        <v>22</v>
      </c>
      <c r="V13" s="284">
        <v>467077208</v>
      </c>
      <c r="W13" s="240">
        <v>471040100</v>
      </c>
      <c r="X13" s="240"/>
      <c r="Y13" s="290"/>
      <c r="Z13" s="5" t="s">
        <v>232</v>
      </c>
      <c r="AA13" s="240">
        <v>26321</v>
      </c>
      <c r="AB13" s="4"/>
      <c r="AC13" s="240" t="s">
        <v>440</v>
      </c>
      <c r="AD13" s="4" t="s">
        <v>440</v>
      </c>
      <c r="AE13" s="240" t="s">
        <v>440</v>
      </c>
      <c r="AF13" s="4" t="s">
        <v>440</v>
      </c>
      <c r="AG13" s="240" t="s">
        <v>440</v>
      </c>
      <c r="AH13" s="240">
        <v>17895</v>
      </c>
      <c r="AI13" s="240" t="s">
        <v>440</v>
      </c>
      <c r="AJ13" s="240" t="s">
        <v>440</v>
      </c>
      <c r="AK13" s="240" t="s">
        <v>440</v>
      </c>
      <c r="AL13" s="240">
        <v>3</v>
      </c>
      <c r="AM13" s="240">
        <v>1290520</v>
      </c>
      <c r="AN13" s="240">
        <v>21028575</v>
      </c>
      <c r="AO13" s="241"/>
      <c r="AP13" s="302"/>
      <c r="AQ13" s="302">
        <v>86.47</v>
      </c>
      <c r="AR13" s="503" t="s">
        <v>149</v>
      </c>
    </row>
    <row r="14" spans="1:44" ht="22.5" customHeight="1" x14ac:dyDescent="0.15">
      <c r="A14">
        <v>9</v>
      </c>
      <c r="B14" s="323" t="s">
        <v>37</v>
      </c>
      <c r="C14" s="324" t="s">
        <v>96</v>
      </c>
      <c r="D14" s="325" t="s">
        <v>87</v>
      </c>
      <c r="E14" s="326" t="s">
        <v>36</v>
      </c>
      <c r="F14" s="240">
        <v>42703440</v>
      </c>
      <c r="G14" s="240">
        <v>2366300</v>
      </c>
      <c r="H14" s="240">
        <v>9112163</v>
      </c>
      <c r="I14" s="283">
        <v>100677794</v>
      </c>
      <c r="J14" s="285">
        <v>6</v>
      </c>
      <c r="K14" s="284">
        <v>154859698</v>
      </c>
      <c r="L14" s="240"/>
      <c r="M14" s="240"/>
      <c r="N14" s="240"/>
      <c r="O14" s="240"/>
      <c r="P14" s="240"/>
      <c r="Q14" s="240"/>
      <c r="R14" s="240"/>
      <c r="S14" s="240"/>
      <c r="T14" s="283"/>
      <c r="U14" s="288"/>
      <c r="V14" s="284"/>
      <c r="W14" s="240">
        <v>154859698</v>
      </c>
      <c r="X14" s="240"/>
      <c r="Y14" s="290"/>
      <c r="Z14" s="501" t="s">
        <v>233</v>
      </c>
      <c r="AA14" s="240">
        <v>368</v>
      </c>
      <c r="AB14" s="4"/>
      <c r="AC14" s="240"/>
      <c r="AD14" s="4"/>
      <c r="AE14" s="240"/>
      <c r="AF14" s="4"/>
      <c r="AG14" s="240"/>
      <c r="AH14" s="240">
        <v>420814</v>
      </c>
      <c r="AI14" s="240" t="s">
        <v>440</v>
      </c>
      <c r="AJ14" s="240" t="s">
        <v>440</v>
      </c>
      <c r="AK14" s="240" t="s">
        <v>440</v>
      </c>
      <c r="AL14" s="240">
        <v>1</v>
      </c>
      <c r="AM14" s="240">
        <v>424273</v>
      </c>
      <c r="AN14" s="240">
        <v>25809949</v>
      </c>
      <c r="AO14" s="240">
        <v>803784895</v>
      </c>
      <c r="AP14" s="302">
        <v>19.27</v>
      </c>
      <c r="AQ14" s="302">
        <v>27.58</v>
      </c>
      <c r="AR14" s="503" t="s">
        <v>150</v>
      </c>
    </row>
    <row r="15" spans="1:44" ht="22.5" customHeight="1" x14ac:dyDescent="0.15">
      <c r="A15">
        <v>10</v>
      </c>
      <c r="B15" s="323" t="s">
        <v>86</v>
      </c>
      <c r="C15" s="324" t="s">
        <v>381</v>
      </c>
      <c r="D15" s="325" t="s">
        <v>35</v>
      </c>
      <c r="E15" s="326" t="s">
        <v>36</v>
      </c>
      <c r="F15" s="240">
        <v>28468960</v>
      </c>
      <c r="G15" s="240">
        <v>70368292</v>
      </c>
      <c r="H15" s="240"/>
      <c r="I15" s="283">
        <v>996895989</v>
      </c>
      <c r="J15" s="285">
        <v>4</v>
      </c>
      <c r="K15" s="284">
        <v>1095733241</v>
      </c>
      <c r="L15" s="240"/>
      <c r="M15" s="240"/>
      <c r="N15" s="240"/>
      <c r="O15" s="240"/>
      <c r="P15" s="240"/>
      <c r="Q15" s="240"/>
      <c r="R15" s="240"/>
      <c r="S15" s="240"/>
      <c r="T15" s="283"/>
      <c r="U15" s="295"/>
      <c r="V15" s="284"/>
      <c r="W15" s="240">
        <v>1095733241</v>
      </c>
      <c r="X15" s="240"/>
      <c r="Y15" s="290"/>
      <c r="Z15" s="494" t="s">
        <v>382</v>
      </c>
      <c r="AA15" s="240">
        <v>365</v>
      </c>
      <c r="AB15" s="4"/>
      <c r="AC15" s="240"/>
      <c r="AD15" s="4"/>
      <c r="AE15" s="240"/>
      <c r="AF15" s="4"/>
      <c r="AG15" s="240"/>
      <c r="AH15" s="240">
        <v>3002008</v>
      </c>
      <c r="AI15" s="240"/>
      <c r="AJ15" s="240"/>
      <c r="AK15" s="240"/>
      <c r="AL15" s="240">
        <v>8</v>
      </c>
      <c r="AM15" s="240">
        <v>3002008</v>
      </c>
      <c r="AN15" s="240">
        <v>273933310</v>
      </c>
      <c r="AO15" s="241"/>
      <c r="AP15" s="302"/>
      <c r="AQ15" s="302">
        <v>2.6</v>
      </c>
      <c r="AR15" s="503" t="s">
        <v>148</v>
      </c>
    </row>
    <row r="16" spans="1:44" ht="22.5" customHeight="1" x14ac:dyDescent="0.15">
      <c r="A16">
        <v>11</v>
      </c>
      <c r="B16" s="323" t="s">
        <v>88</v>
      </c>
      <c r="C16" s="324" t="s">
        <v>89</v>
      </c>
      <c r="D16" s="325" t="s">
        <v>35</v>
      </c>
      <c r="E16" s="326" t="s">
        <v>36</v>
      </c>
      <c r="F16" s="240">
        <v>18504824</v>
      </c>
      <c r="G16" s="240">
        <v>14173142</v>
      </c>
      <c r="H16" s="240">
        <v>1724159</v>
      </c>
      <c r="I16" s="283">
        <v>135952814</v>
      </c>
      <c r="J16" s="285">
        <v>2.6</v>
      </c>
      <c r="K16" s="284">
        <v>170354940</v>
      </c>
      <c r="L16" s="240"/>
      <c r="M16" s="240"/>
      <c r="N16" s="240"/>
      <c r="O16" s="240"/>
      <c r="P16" s="240"/>
      <c r="Q16" s="240"/>
      <c r="R16" s="240"/>
      <c r="S16" s="240"/>
      <c r="T16" s="283"/>
      <c r="U16" s="295"/>
      <c r="V16" s="284"/>
      <c r="W16" s="240">
        <v>170354940</v>
      </c>
      <c r="X16" s="240"/>
      <c r="Y16" s="290"/>
      <c r="Z16" s="293" t="s">
        <v>333</v>
      </c>
      <c r="AA16" s="240">
        <v>10149</v>
      </c>
      <c r="AB16" s="4" t="s">
        <v>334</v>
      </c>
      <c r="AC16" s="240">
        <v>12772</v>
      </c>
      <c r="AD16" s="4"/>
      <c r="AE16" s="240"/>
      <c r="AF16" s="4"/>
      <c r="AG16" s="240"/>
      <c r="AH16" s="240">
        <v>16785</v>
      </c>
      <c r="AI16" s="240">
        <v>13338</v>
      </c>
      <c r="AJ16" s="240" t="s">
        <v>440</v>
      </c>
      <c r="AK16" s="240" t="s">
        <v>440</v>
      </c>
      <c r="AL16" s="240">
        <v>1</v>
      </c>
      <c r="AM16" s="240">
        <v>466725</v>
      </c>
      <c r="AN16" s="240">
        <v>65521130</v>
      </c>
      <c r="AO16" s="241"/>
      <c r="AP16" s="302"/>
      <c r="AQ16" s="302">
        <v>10.86</v>
      </c>
      <c r="AR16" s="503" t="s">
        <v>148</v>
      </c>
    </row>
    <row r="17" spans="1:44" ht="22.5" customHeight="1" x14ac:dyDescent="0.15">
      <c r="A17">
        <v>12</v>
      </c>
      <c r="B17" s="323" t="s">
        <v>39</v>
      </c>
      <c r="C17" s="324" t="s">
        <v>503</v>
      </c>
      <c r="D17" s="325" t="s">
        <v>35</v>
      </c>
      <c r="E17" s="326" t="s">
        <v>36</v>
      </c>
      <c r="F17" s="240">
        <v>73307572</v>
      </c>
      <c r="G17" s="240">
        <v>39390897</v>
      </c>
      <c r="H17" s="240">
        <v>4706910</v>
      </c>
      <c r="I17" s="283">
        <v>4158090000</v>
      </c>
      <c r="J17" s="285">
        <v>10.3</v>
      </c>
      <c r="K17" s="284">
        <v>4275495380</v>
      </c>
      <c r="L17" s="240"/>
      <c r="M17" s="240"/>
      <c r="N17" s="240"/>
      <c r="O17" s="240"/>
      <c r="P17" s="240"/>
      <c r="Q17" s="240"/>
      <c r="R17" s="240"/>
      <c r="S17" s="240"/>
      <c r="T17" s="283"/>
      <c r="U17" s="288"/>
      <c r="V17" s="284"/>
      <c r="W17" s="240">
        <v>4275495381.0683198</v>
      </c>
      <c r="X17" s="240">
        <v>4158090000</v>
      </c>
      <c r="Y17" s="290">
        <v>97.25</v>
      </c>
      <c r="Z17" s="294" t="s">
        <v>234</v>
      </c>
      <c r="AA17" s="240">
        <v>160</v>
      </c>
      <c r="AB17" s="307" t="s">
        <v>331</v>
      </c>
      <c r="AC17" s="240">
        <v>31</v>
      </c>
      <c r="AD17" s="4"/>
      <c r="AE17" s="240"/>
      <c r="AF17" s="4"/>
      <c r="AG17" s="240"/>
      <c r="AH17" s="240">
        <v>25132448</v>
      </c>
      <c r="AI17" s="240">
        <v>8203342</v>
      </c>
      <c r="AJ17" s="240" t="s">
        <v>440</v>
      </c>
      <c r="AK17" s="240" t="s">
        <v>440</v>
      </c>
      <c r="AL17" s="240">
        <v>33</v>
      </c>
      <c r="AM17" s="240">
        <v>11713685</v>
      </c>
      <c r="AN17" s="240">
        <v>737154376</v>
      </c>
      <c r="AO17" s="241"/>
      <c r="AP17" s="302"/>
      <c r="AQ17" s="302">
        <v>1.71</v>
      </c>
      <c r="AR17" s="503" t="s">
        <v>148</v>
      </c>
    </row>
    <row r="18" spans="1:44" s="6" customFormat="1" ht="22.5" customHeight="1" x14ac:dyDescent="0.15">
      <c r="A18">
        <v>13</v>
      </c>
      <c r="B18" s="323" t="s">
        <v>88</v>
      </c>
      <c r="C18" s="324" t="s">
        <v>504</v>
      </c>
      <c r="D18" s="325" t="s">
        <v>35</v>
      </c>
      <c r="E18" s="326" t="s">
        <v>36</v>
      </c>
      <c r="F18" s="240">
        <v>41279992</v>
      </c>
      <c r="G18" s="240">
        <v>22181282</v>
      </c>
      <c r="H18" s="240">
        <v>2650493</v>
      </c>
      <c r="I18" s="283">
        <v>3955080000</v>
      </c>
      <c r="J18" s="285">
        <v>5.8</v>
      </c>
      <c r="K18" s="284">
        <v>4021191767</v>
      </c>
      <c r="L18" s="240"/>
      <c r="M18" s="240"/>
      <c r="N18" s="240"/>
      <c r="O18" s="240"/>
      <c r="P18" s="240"/>
      <c r="Q18" s="240"/>
      <c r="R18" s="240"/>
      <c r="S18" s="240"/>
      <c r="T18" s="283"/>
      <c r="U18" s="288"/>
      <c r="V18" s="284"/>
      <c r="W18" s="240">
        <v>4021191767</v>
      </c>
      <c r="X18" s="240">
        <v>3955080000</v>
      </c>
      <c r="Y18" s="290">
        <v>98.36</v>
      </c>
      <c r="Z18" s="294" t="s">
        <v>234</v>
      </c>
      <c r="AA18" s="240">
        <v>160</v>
      </c>
      <c r="AB18" s="4"/>
      <c r="AC18" s="240"/>
      <c r="AD18" s="4"/>
      <c r="AE18" s="240"/>
      <c r="AF18" s="4"/>
      <c r="AG18" s="240"/>
      <c r="AH18" s="240">
        <v>25132448</v>
      </c>
      <c r="AI18" s="240"/>
      <c r="AJ18" s="240" t="s">
        <v>440</v>
      </c>
      <c r="AK18" s="240" t="s">
        <v>440</v>
      </c>
      <c r="AL18" s="240"/>
      <c r="AM18" s="240"/>
      <c r="AN18" s="240"/>
      <c r="AO18" s="241"/>
      <c r="AP18" s="302"/>
      <c r="AQ18" s="302"/>
      <c r="AR18" s="503"/>
    </row>
    <row r="19" spans="1:44" ht="22.5" customHeight="1" x14ac:dyDescent="0.15">
      <c r="A19">
        <v>14</v>
      </c>
      <c r="B19" s="323" t="s">
        <v>88</v>
      </c>
      <c r="C19" s="324" t="s">
        <v>505</v>
      </c>
      <c r="D19" s="325" t="s">
        <v>35</v>
      </c>
      <c r="E19" s="326" t="s">
        <v>36</v>
      </c>
      <c r="F19" s="240">
        <v>32027580</v>
      </c>
      <c r="G19" s="240">
        <v>17209615</v>
      </c>
      <c r="H19" s="240">
        <v>2056417</v>
      </c>
      <c r="I19" s="283">
        <v>203010000</v>
      </c>
      <c r="J19" s="285">
        <v>4.5</v>
      </c>
      <c r="K19" s="284">
        <v>254303613</v>
      </c>
      <c r="L19" s="240"/>
      <c r="M19" s="240"/>
      <c r="N19" s="240"/>
      <c r="O19" s="240"/>
      <c r="P19" s="240"/>
      <c r="Q19" s="240"/>
      <c r="R19" s="240"/>
      <c r="S19" s="240"/>
      <c r="T19" s="283"/>
      <c r="U19" s="288"/>
      <c r="V19" s="284"/>
      <c r="W19" s="240">
        <v>254303613</v>
      </c>
      <c r="X19" s="240">
        <v>203010000</v>
      </c>
      <c r="Y19" s="290">
        <v>79.83</v>
      </c>
      <c r="Z19" s="307" t="s">
        <v>331</v>
      </c>
      <c r="AA19" s="240">
        <v>31</v>
      </c>
      <c r="AB19" s="4"/>
      <c r="AC19" s="240"/>
      <c r="AD19" s="4"/>
      <c r="AE19" s="240"/>
      <c r="AF19" s="4"/>
      <c r="AG19" s="240"/>
      <c r="AH19" s="240">
        <v>8203342</v>
      </c>
      <c r="AI19" s="240"/>
      <c r="AJ19" s="240" t="s">
        <v>440</v>
      </c>
      <c r="AK19" s="240" t="s">
        <v>440</v>
      </c>
      <c r="AL19" s="240"/>
      <c r="AM19" s="240"/>
      <c r="AN19" s="240"/>
      <c r="AO19" s="240"/>
      <c r="AP19" s="302"/>
      <c r="AQ19" s="302"/>
      <c r="AR19" s="503"/>
    </row>
    <row r="20" spans="1:44" s="6" customFormat="1" ht="22.5" customHeight="1" x14ac:dyDescent="0.15">
      <c r="A20" s="6">
        <v>15</v>
      </c>
      <c r="B20" s="323" t="s">
        <v>534</v>
      </c>
      <c r="C20" s="324" t="s">
        <v>531</v>
      </c>
      <c r="D20" s="591" t="s">
        <v>536</v>
      </c>
      <c r="E20" s="330" t="s">
        <v>537</v>
      </c>
      <c r="F20" s="240"/>
      <c r="G20" s="240"/>
      <c r="H20" s="240"/>
      <c r="I20" s="283"/>
      <c r="J20" s="285"/>
      <c r="K20" s="284"/>
      <c r="L20" s="240"/>
      <c r="M20" s="240"/>
      <c r="N20" s="240"/>
      <c r="O20" s="240"/>
      <c r="P20" s="240"/>
      <c r="Q20" s="240"/>
      <c r="R20" s="240"/>
      <c r="S20" s="240"/>
      <c r="T20" s="283"/>
      <c r="U20" s="288"/>
      <c r="V20" s="284"/>
      <c r="W20" s="240"/>
      <c r="X20" s="240"/>
      <c r="Y20" s="290"/>
      <c r="Z20" s="307"/>
      <c r="AA20" s="240"/>
      <c r="AB20" s="4"/>
      <c r="AC20" s="240"/>
      <c r="AD20" s="4"/>
      <c r="AE20" s="240"/>
      <c r="AF20" s="4"/>
      <c r="AG20" s="240"/>
      <c r="AH20" s="240"/>
      <c r="AI20" s="240"/>
      <c r="AJ20" s="240"/>
      <c r="AK20" s="240"/>
      <c r="AL20" s="240"/>
      <c r="AM20" s="240"/>
      <c r="AN20" s="240"/>
      <c r="AO20" s="240"/>
      <c r="AP20" s="302"/>
      <c r="AQ20" s="302"/>
      <c r="AR20" s="593"/>
    </row>
    <row r="21" spans="1:44" ht="22.5" customHeight="1" x14ac:dyDescent="0.15">
      <c r="A21">
        <v>16</v>
      </c>
      <c r="B21" s="323" t="s">
        <v>39</v>
      </c>
      <c r="C21" s="324" t="s">
        <v>91</v>
      </c>
      <c r="D21" s="325" t="s">
        <v>35</v>
      </c>
      <c r="E21" s="326" t="s">
        <v>36</v>
      </c>
      <c r="F21" s="240">
        <v>306041322</v>
      </c>
      <c r="G21" s="240">
        <v>1499354269</v>
      </c>
      <c r="H21" s="240">
        <v>96027627</v>
      </c>
      <c r="I21" s="283">
        <v>970216778</v>
      </c>
      <c r="J21" s="285">
        <v>43</v>
      </c>
      <c r="K21" s="284">
        <v>2871639996</v>
      </c>
      <c r="L21" s="240"/>
      <c r="M21" s="240"/>
      <c r="N21" s="240"/>
      <c r="O21" s="240"/>
      <c r="P21" s="240"/>
      <c r="Q21" s="240"/>
      <c r="R21" s="240"/>
      <c r="S21" s="240"/>
      <c r="T21" s="283"/>
      <c r="U21" s="295"/>
      <c r="V21" s="284"/>
      <c r="W21" s="240">
        <v>2871639996</v>
      </c>
      <c r="X21" s="240"/>
      <c r="Y21" s="290"/>
      <c r="Z21" s="5" t="s">
        <v>235</v>
      </c>
      <c r="AA21" s="240">
        <v>18</v>
      </c>
      <c r="AB21" s="4"/>
      <c r="AC21" s="240"/>
      <c r="AD21" s="4"/>
      <c r="AE21" s="240"/>
      <c r="AF21" s="4"/>
      <c r="AG21" s="240"/>
      <c r="AH21" s="240">
        <v>159535555</v>
      </c>
      <c r="AI21" s="240" t="s">
        <v>440</v>
      </c>
      <c r="AJ21" s="240" t="s">
        <v>440</v>
      </c>
      <c r="AK21" s="240" t="s">
        <v>440</v>
      </c>
      <c r="AL21" s="240">
        <v>22</v>
      </c>
      <c r="AM21" s="240">
        <v>7867506</v>
      </c>
      <c r="AN21" s="240">
        <v>66782325</v>
      </c>
      <c r="AO21" s="241"/>
      <c r="AP21" s="302"/>
      <c r="AQ21" s="302">
        <v>10.66</v>
      </c>
      <c r="AR21" s="536" t="s">
        <v>148</v>
      </c>
    </row>
    <row r="22" spans="1:44" ht="22.5" customHeight="1" x14ac:dyDescent="0.15">
      <c r="A22">
        <v>17</v>
      </c>
      <c r="B22" s="323" t="s">
        <v>39</v>
      </c>
      <c r="C22" s="324" t="s">
        <v>92</v>
      </c>
      <c r="D22" s="323" t="s">
        <v>35</v>
      </c>
      <c r="E22" s="330" t="s">
        <v>38</v>
      </c>
      <c r="F22" s="240">
        <v>2719226972</v>
      </c>
      <c r="G22" s="240">
        <v>1783020478</v>
      </c>
      <c r="H22" s="240">
        <v>253812064</v>
      </c>
      <c r="I22" s="283">
        <v>6935159141</v>
      </c>
      <c r="J22" s="285">
        <v>382</v>
      </c>
      <c r="K22" s="284">
        <v>11691218655</v>
      </c>
      <c r="L22" s="240">
        <v>1775937067</v>
      </c>
      <c r="M22" s="240">
        <v>714703205</v>
      </c>
      <c r="N22" s="240">
        <v>193178252</v>
      </c>
      <c r="O22" s="240">
        <v>56976921</v>
      </c>
      <c r="P22" s="240">
        <v>1969115319</v>
      </c>
      <c r="Q22" s="240">
        <v>10344456</v>
      </c>
      <c r="R22" s="240">
        <v>771680126</v>
      </c>
      <c r="S22" s="240"/>
      <c r="T22" s="283"/>
      <c r="U22" s="288">
        <v>230</v>
      </c>
      <c r="V22" s="284">
        <v>2751139901</v>
      </c>
      <c r="W22" s="240">
        <v>14442358556</v>
      </c>
      <c r="X22" s="240"/>
      <c r="Y22" s="290"/>
      <c r="Z22" s="5" t="s">
        <v>236</v>
      </c>
      <c r="AA22" s="240">
        <v>8</v>
      </c>
      <c r="AB22" s="4"/>
      <c r="AC22" s="240"/>
      <c r="AD22" s="4"/>
      <c r="AE22" s="240"/>
      <c r="AF22" s="4"/>
      <c r="AG22" s="240"/>
      <c r="AH22" s="240">
        <v>1805294819</v>
      </c>
      <c r="AI22" s="240" t="s">
        <v>440</v>
      </c>
      <c r="AJ22" s="240" t="s">
        <v>440</v>
      </c>
      <c r="AK22" s="240" t="s">
        <v>440</v>
      </c>
      <c r="AL22" s="240">
        <v>114</v>
      </c>
      <c r="AM22" s="240">
        <v>39568105</v>
      </c>
      <c r="AN22" s="240">
        <v>23596234</v>
      </c>
      <c r="AO22" s="241"/>
      <c r="AP22" s="302"/>
      <c r="AQ22" s="302">
        <v>32.53</v>
      </c>
      <c r="AR22" s="536" t="s">
        <v>149</v>
      </c>
    </row>
    <row r="23" spans="1:44" ht="22.5" customHeight="1" x14ac:dyDescent="0.15">
      <c r="A23">
        <v>18</v>
      </c>
      <c r="B23" s="323" t="s">
        <v>88</v>
      </c>
      <c r="C23" s="324" t="s">
        <v>90</v>
      </c>
      <c r="D23" s="325" t="s">
        <v>87</v>
      </c>
      <c r="E23" s="326" t="s">
        <v>36</v>
      </c>
      <c r="F23" s="240">
        <v>405682683</v>
      </c>
      <c r="G23" s="240">
        <v>695358481</v>
      </c>
      <c r="H23" s="240">
        <v>98983929</v>
      </c>
      <c r="I23" s="283">
        <v>668688120</v>
      </c>
      <c r="J23" s="285">
        <v>57</v>
      </c>
      <c r="K23" s="284">
        <v>1868713213</v>
      </c>
      <c r="L23" s="240"/>
      <c r="M23" s="240"/>
      <c r="N23" s="240"/>
      <c r="O23" s="240"/>
      <c r="P23" s="240"/>
      <c r="Q23" s="240"/>
      <c r="R23" s="240"/>
      <c r="S23" s="240"/>
      <c r="T23" s="283"/>
      <c r="U23" s="288"/>
      <c r="V23" s="284"/>
      <c r="W23" s="240">
        <v>1868713213</v>
      </c>
      <c r="X23" s="240"/>
      <c r="Y23" s="290"/>
      <c r="Z23" s="5" t="s">
        <v>237</v>
      </c>
      <c r="AA23" s="240">
        <v>302144</v>
      </c>
      <c r="AB23" s="4"/>
      <c r="AC23" s="240"/>
      <c r="AD23" s="4"/>
      <c r="AE23" s="240"/>
      <c r="AF23" s="4"/>
      <c r="AG23" s="240"/>
      <c r="AH23" s="240">
        <v>6184</v>
      </c>
      <c r="AI23" s="240" t="s">
        <v>440</v>
      </c>
      <c r="AJ23" s="240" t="s">
        <v>440</v>
      </c>
      <c r="AK23" s="240" t="s">
        <v>440</v>
      </c>
      <c r="AL23" s="240">
        <v>14</v>
      </c>
      <c r="AM23" s="240">
        <v>5119762</v>
      </c>
      <c r="AN23" s="240">
        <v>32784442</v>
      </c>
      <c r="AO23" s="241">
        <v>276169453245</v>
      </c>
      <c r="AP23" s="302">
        <v>0.68</v>
      </c>
      <c r="AQ23" s="302">
        <v>21.71</v>
      </c>
      <c r="AR23" s="536" t="s">
        <v>150</v>
      </c>
    </row>
    <row r="24" spans="1:44" ht="22.5" customHeight="1" x14ac:dyDescent="0.15">
      <c r="A24">
        <v>19</v>
      </c>
      <c r="B24" s="328" t="s">
        <v>93</v>
      </c>
      <c r="C24" s="327" t="s">
        <v>356</v>
      </c>
      <c r="D24" s="328" t="s">
        <v>338</v>
      </c>
      <c r="E24" s="328" t="s">
        <v>339</v>
      </c>
      <c r="F24" s="240">
        <v>106758600</v>
      </c>
      <c r="G24" s="240">
        <v>55299791</v>
      </c>
      <c r="H24" s="240">
        <v>6499560</v>
      </c>
      <c r="I24" s="283"/>
      <c r="J24" s="285">
        <v>15</v>
      </c>
      <c r="K24" s="284">
        <v>168557952</v>
      </c>
      <c r="L24" s="240"/>
      <c r="M24" s="240"/>
      <c r="N24" s="240"/>
      <c r="O24" s="240"/>
      <c r="P24" s="240"/>
      <c r="Q24" s="240"/>
      <c r="R24" s="240"/>
      <c r="S24" s="240"/>
      <c r="T24" s="283"/>
      <c r="U24" s="288"/>
      <c r="V24" s="284"/>
      <c r="W24" s="240">
        <v>168557952</v>
      </c>
      <c r="X24" s="240">
        <v>141344000</v>
      </c>
      <c r="Y24" s="290">
        <v>83.85</v>
      </c>
      <c r="Z24" s="5" t="s">
        <v>359</v>
      </c>
      <c r="AA24" s="240">
        <v>17668</v>
      </c>
      <c r="AB24" s="4"/>
      <c r="AC24" s="240"/>
      <c r="AD24" s="4"/>
      <c r="AE24" s="240"/>
      <c r="AF24" s="4"/>
      <c r="AG24" s="240"/>
      <c r="AH24" s="240">
        <v>9540</v>
      </c>
      <c r="AI24" s="240" t="s">
        <v>440</v>
      </c>
      <c r="AJ24" s="240" t="s">
        <v>440</v>
      </c>
      <c r="AK24" s="240" t="s">
        <v>440</v>
      </c>
      <c r="AL24" s="240">
        <v>1</v>
      </c>
      <c r="AM24" s="240">
        <v>461802</v>
      </c>
      <c r="AN24" s="240">
        <v>11237196</v>
      </c>
      <c r="AO24" s="240"/>
      <c r="AP24" s="302"/>
      <c r="AQ24" s="302">
        <v>63.34</v>
      </c>
      <c r="AR24" s="536" t="s">
        <v>148</v>
      </c>
    </row>
    <row r="25" spans="1:44" ht="22.5" customHeight="1" x14ac:dyDescent="0.15">
      <c r="A25">
        <v>20</v>
      </c>
      <c r="B25" s="323" t="s">
        <v>93</v>
      </c>
      <c r="C25" s="324" t="s">
        <v>94</v>
      </c>
      <c r="D25" s="325" t="s">
        <v>35</v>
      </c>
      <c r="E25" s="326" t="s">
        <v>36</v>
      </c>
      <c r="F25" s="240">
        <v>165938452067</v>
      </c>
      <c r="G25" s="240">
        <v>5361944882</v>
      </c>
      <c r="H25" s="240">
        <v>24027181249</v>
      </c>
      <c r="I25" s="283">
        <v>68174398655</v>
      </c>
      <c r="J25" s="285">
        <v>23315</v>
      </c>
      <c r="K25" s="284">
        <v>263501976853</v>
      </c>
      <c r="L25" s="240"/>
      <c r="M25" s="240"/>
      <c r="N25" s="240"/>
      <c r="O25" s="240"/>
      <c r="P25" s="240"/>
      <c r="Q25" s="240"/>
      <c r="R25" s="240"/>
      <c r="S25" s="240"/>
      <c r="T25" s="283"/>
      <c r="U25" s="288"/>
      <c r="V25" s="284"/>
      <c r="W25" s="240">
        <v>263501976853</v>
      </c>
      <c r="X25" s="240">
        <v>3757722656</v>
      </c>
      <c r="Y25" s="290">
        <v>1.43</v>
      </c>
      <c r="Z25" s="293" t="s">
        <v>238</v>
      </c>
      <c r="AA25" s="240">
        <v>53735</v>
      </c>
      <c r="AB25" s="4"/>
      <c r="AC25" s="240"/>
      <c r="AD25" s="4"/>
      <c r="AE25" s="240"/>
      <c r="AF25" s="4"/>
      <c r="AG25" s="240"/>
      <c r="AH25" s="240">
        <v>13434</v>
      </c>
      <c r="AI25" s="240" t="s">
        <v>440</v>
      </c>
      <c r="AJ25" s="240" t="s">
        <v>440</v>
      </c>
      <c r="AK25" s="240" t="s">
        <v>440</v>
      </c>
      <c r="AL25" s="240">
        <v>2083</v>
      </c>
      <c r="AM25" s="240">
        <v>721923224</v>
      </c>
      <c r="AN25" s="240">
        <v>11301821</v>
      </c>
      <c r="AO25" s="241"/>
      <c r="AP25" s="302"/>
      <c r="AQ25" s="302">
        <v>62.97</v>
      </c>
      <c r="AR25" s="536" t="s">
        <v>148</v>
      </c>
    </row>
    <row r="26" spans="1:44" ht="22.5" customHeight="1" x14ac:dyDescent="0.15">
      <c r="A26">
        <v>21</v>
      </c>
      <c r="B26" s="328" t="s">
        <v>93</v>
      </c>
      <c r="C26" s="327" t="s">
        <v>507</v>
      </c>
      <c r="D26" s="328" t="s">
        <v>338</v>
      </c>
      <c r="E26" s="328" t="s">
        <v>339</v>
      </c>
      <c r="F26" s="240">
        <v>368673035</v>
      </c>
      <c r="G26" s="240">
        <v>35430567</v>
      </c>
      <c r="H26" s="240">
        <v>19969057</v>
      </c>
      <c r="I26" s="283">
        <v>411011438</v>
      </c>
      <c r="J26" s="285">
        <v>51.8</v>
      </c>
      <c r="K26" s="284">
        <v>835084098</v>
      </c>
      <c r="L26" s="240"/>
      <c r="M26" s="240"/>
      <c r="N26" s="240"/>
      <c r="O26" s="240"/>
      <c r="P26" s="240"/>
      <c r="Q26" s="240"/>
      <c r="R26" s="240"/>
      <c r="S26" s="240"/>
      <c r="T26" s="283"/>
      <c r="U26" s="288"/>
      <c r="V26" s="284"/>
      <c r="W26" s="240">
        <v>835084098</v>
      </c>
      <c r="X26" s="240"/>
      <c r="Y26" s="290"/>
      <c r="Z26" s="5" t="s">
        <v>358</v>
      </c>
      <c r="AA26" s="240">
        <v>216239</v>
      </c>
      <c r="AB26" s="4"/>
      <c r="AC26" s="240"/>
      <c r="AD26" s="4"/>
      <c r="AE26" s="240"/>
      <c r="AF26" s="4"/>
      <c r="AG26" s="240"/>
      <c r="AH26" s="240">
        <v>3861</v>
      </c>
      <c r="AI26" s="240" t="s">
        <v>440</v>
      </c>
      <c r="AJ26" s="240" t="s">
        <v>440</v>
      </c>
      <c r="AK26" s="240" t="s">
        <v>440</v>
      </c>
      <c r="AL26" s="240">
        <v>6</v>
      </c>
      <c r="AM26" s="240">
        <v>2287901</v>
      </c>
      <c r="AN26" s="240">
        <v>16121314</v>
      </c>
      <c r="AO26" s="240"/>
      <c r="AP26" s="302"/>
      <c r="AQ26" s="302">
        <v>44.15</v>
      </c>
      <c r="AR26" s="536" t="s">
        <v>148</v>
      </c>
    </row>
    <row r="27" spans="1:44" ht="22.5" customHeight="1" x14ac:dyDescent="0.15">
      <c r="A27">
        <v>22</v>
      </c>
      <c r="B27" s="323" t="s">
        <v>93</v>
      </c>
      <c r="C27" s="324" t="s">
        <v>95</v>
      </c>
      <c r="D27" s="325" t="s">
        <v>35</v>
      </c>
      <c r="E27" s="326" t="s">
        <v>36</v>
      </c>
      <c r="F27" s="240">
        <v>3323751109</v>
      </c>
      <c r="G27" s="240">
        <v>368865120</v>
      </c>
      <c r="H27" s="240">
        <v>232049282</v>
      </c>
      <c r="I27" s="283">
        <v>1252211854</v>
      </c>
      <c r="J27" s="286">
        <v>467</v>
      </c>
      <c r="K27" s="284">
        <v>5176877365</v>
      </c>
      <c r="L27" s="240"/>
      <c r="M27" s="240"/>
      <c r="N27" s="240"/>
      <c r="O27" s="240"/>
      <c r="P27" s="240"/>
      <c r="Q27" s="240"/>
      <c r="R27" s="240"/>
      <c r="S27" s="240"/>
      <c r="T27" s="283"/>
      <c r="U27" s="296"/>
      <c r="V27" s="284"/>
      <c r="W27" s="240">
        <v>5176877365</v>
      </c>
      <c r="X27" s="240"/>
      <c r="Y27" s="290"/>
      <c r="Z27" s="5" t="s">
        <v>239</v>
      </c>
      <c r="AA27" s="240">
        <v>6327</v>
      </c>
      <c r="AB27" s="4"/>
      <c r="AC27" s="240"/>
      <c r="AD27" s="4"/>
      <c r="AE27" s="240"/>
      <c r="AF27" s="4"/>
      <c r="AG27" s="240"/>
      <c r="AH27" s="240">
        <v>818219</v>
      </c>
      <c r="AI27" s="240" t="s">
        <v>440</v>
      </c>
      <c r="AJ27" s="240" t="s">
        <v>440</v>
      </c>
      <c r="AK27" s="240" t="s">
        <v>440</v>
      </c>
      <c r="AL27" s="240">
        <v>40</v>
      </c>
      <c r="AM27" s="240">
        <v>14183225</v>
      </c>
      <c r="AN27" s="240">
        <v>11085390</v>
      </c>
      <c r="AO27" s="240"/>
      <c r="AP27" s="302"/>
      <c r="AQ27" s="302">
        <v>64.2</v>
      </c>
      <c r="AR27" s="536" t="s">
        <v>148</v>
      </c>
    </row>
    <row r="28" spans="1:44" ht="22.5" customHeight="1" x14ac:dyDescent="0.15">
      <c r="A28">
        <v>23</v>
      </c>
      <c r="B28" s="323" t="s">
        <v>93</v>
      </c>
      <c r="C28" s="324" t="s">
        <v>332</v>
      </c>
      <c r="D28" s="325" t="s">
        <v>35</v>
      </c>
      <c r="E28" s="326" t="s">
        <v>36</v>
      </c>
      <c r="F28" s="240">
        <v>32525787087</v>
      </c>
      <c r="G28" s="240">
        <v>1863874634</v>
      </c>
      <c r="H28" s="240">
        <v>1221962301</v>
      </c>
      <c r="I28" s="283">
        <v>24857071200</v>
      </c>
      <c r="J28" s="285">
        <v>4570</v>
      </c>
      <c r="K28" s="284">
        <v>60468695222</v>
      </c>
      <c r="L28" s="240"/>
      <c r="M28" s="240"/>
      <c r="N28" s="240"/>
      <c r="O28" s="240"/>
      <c r="P28" s="240"/>
      <c r="Q28" s="240"/>
      <c r="R28" s="240"/>
      <c r="S28" s="240"/>
      <c r="T28" s="283"/>
      <c r="U28" s="288"/>
      <c r="V28" s="284"/>
      <c r="W28" s="240">
        <v>60468695222</v>
      </c>
      <c r="X28" s="240">
        <v>4283956700</v>
      </c>
      <c r="Y28" s="290">
        <v>7.08</v>
      </c>
      <c r="Z28" s="294" t="s">
        <v>240</v>
      </c>
      <c r="AA28" s="240">
        <v>114604248</v>
      </c>
      <c r="AB28" s="4"/>
      <c r="AC28" s="240"/>
      <c r="AD28" s="4"/>
      <c r="AE28" s="240"/>
      <c r="AF28" s="4"/>
      <c r="AG28" s="240"/>
      <c r="AH28" s="240">
        <v>527</v>
      </c>
      <c r="AI28" s="240" t="s">
        <v>440</v>
      </c>
      <c r="AJ28" s="240" t="s">
        <v>440</v>
      </c>
      <c r="AK28" s="240" t="s">
        <v>440</v>
      </c>
      <c r="AL28" s="240">
        <v>478</v>
      </c>
      <c r="AM28" s="240">
        <v>165667658</v>
      </c>
      <c r="AN28" s="240">
        <v>13231661</v>
      </c>
      <c r="AO28" s="241"/>
      <c r="AP28" s="302"/>
      <c r="AQ28" s="302">
        <v>53.79</v>
      </c>
      <c r="AR28" s="536" t="s">
        <v>148</v>
      </c>
    </row>
    <row r="29" spans="1:44" ht="22.5" customHeight="1" x14ac:dyDescent="0.15">
      <c r="A29">
        <v>24</v>
      </c>
      <c r="B29" s="328" t="s">
        <v>97</v>
      </c>
      <c r="C29" s="327" t="s">
        <v>428</v>
      </c>
      <c r="D29" s="328" t="s">
        <v>338</v>
      </c>
      <c r="E29" s="328" t="s">
        <v>339</v>
      </c>
      <c r="F29" s="240">
        <v>29765010</v>
      </c>
      <c r="G29" s="240">
        <v>35294500</v>
      </c>
      <c r="H29" s="240">
        <v>316851</v>
      </c>
      <c r="I29" s="283">
        <v>49255398</v>
      </c>
      <c r="J29" s="285">
        <v>2.7</v>
      </c>
      <c r="K29" s="284">
        <v>114631759</v>
      </c>
      <c r="L29" s="240"/>
      <c r="M29" s="240"/>
      <c r="N29" s="240"/>
      <c r="O29" s="240"/>
      <c r="P29" s="240"/>
      <c r="Q29" s="240"/>
      <c r="R29" s="240"/>
      <c r="S29" s="240"/>
      <c r="T29" s="283"/>
      <c r="U29" s="288"/>
      <c r="V29" s="284"/>
      <c r="W29" s="240">
        <v>114631759</v>
      </c>
      <c r="X29" s="240"/>
      <c r="Y29" s="290"/>
      <c r="Z29" s="5" t="s">
        <v>360</v>
      </c>
      <c r="AA29" s="240">
        <v>51</v>
      </c>
      <c r="AB29" s="547" t="s">
        <v>361</v>
      </c>
      <c r="AC29" s="240">
        <v>201</v>
      </c>
      <c r="AD29" s="4"/>
      <c r="AE29" s="240"/>
      <c r="AF29" s="4"/>
      <c r="AG29" s="240"/>
      <c r="AH29" s="240">
        <v>2247681</v>
      </c>
      <c r="AI29" s="240">
        <v>570307</v>
      </c>
      <c r="AJ29" s="240" t="s">
        <v>440</v>
      </c>
      <c r="AK29" s="240" t="s">
        <v>440</v>
      </c>
      <c r="AL29" s="310">
        <v>0.9</v>
      </c>
      <c r="AM29" s="240">
        <v>314059</v>
      </c>
      <c r="AN29" s="240">
        <v>41533246</v>
      </c>
      <c r="AO29" s="241"/>
      <c r="AP29" s="302"/>
      <c r="AQ29" s="302">
        <v>25.97</v>
      </c>
      <c r="AR29" s="536" t="s">
        <v>148</v>
      </c>
    </row>
    <row r="30" spans="1:44" ht="22.5" customHeight="1" x14ac:dyDescent="0.15">
      <c r="A30">
        <v>25</v>
      </c>
      <c r="B30" s="328" t="s">
        <v>97</v>
      </c>
      <c r="C30" s="327" t="s">
        <v>427</v>
      </c>
      <c r="D30" s="328" t="s">
        <v>338</v>
      </c>
      <c r="E30" s="328" t="s">
        <v>339</v>
      </c>
      <c r="F30" s="240">
        <v>1423448</v>
      </c>
      <c r="G30" s="240">
        <v>8441899</v>
      </c>
      <c r="H30" s="240">
        <v>34862</v>
      </c>
      <c r="I30" s="283">
        <v>23103127</v>
      </c>
      <c r="J30" s="285">
        <v>0.2</v>
      </c>
      <c r="K30" s="284">
        <v>33003337</v>
      </c>
      <c r="L30" s="240"/>
      <c r="M30" s="240"/>
      <c r="N30" s="240"/>
      <c r="O30" s="240"/>
      <c r="P30" s="240"/>
      <c r="Q30" s="240"/>
      <c r="R30" s="240"/>
      <c r="S30" s="240"/>
      <c r="T30" s="283"/>
      <c r="U30" s="288"/>
      <c r="V30" s="284"/>
      <c r="W30" s="240">
        <v>33003337</v>
      </c>
      <c r="X30" s="240"/>
      <c r="Y30" s="290"/>
      <c r="Z30" s="294" t="s">
        <v>363</v>
      </c>
      <c r="AA30" s="240">
        <v>75</v>
      </c>
      <c r="AB30" s="4" t="s">
        <v>443</v>
      </c>
      <c r="AC30" s="240">
        <v>7</v>
      </c>
      <c r="AD30" s="4" t="s">
        <v>515</v>
      </c>
      <c r="AE30" s="240">
        <v>183</v>
      </c>
      <c r="AF30" s="4"/>
      <c r="AG30" s="240"/>
      <c r="AH30" s="240">
        <v>440044</v>
      </c>
      <c r="AI30" s="240">
        <v>4714762</v>
      </c>
      <c r="AJ30" s="240">
        <v>180346</v>
      </c>
      <c r="AK30" s="240" t="s">
        <v>440</v>
      </c>
      <c r="AL30" s="310">
        <v>0.2</v>
      </c>
      <c r="AM30" s="240">
        <v>90420</v>
      </c>
      <c r="AN30" s="240" t="s">
        <v>440</v>
      </c>
      <c r="AO30" s="241"/>
      <c r="AP30" s="302"/>
      <c r="AQ30" s="302">
        <v>4.3099999999999996</v>
      </c>
      <c r="AR30" s="536" t="s">
        <v>148</v>
      </c>
    </row>
    <row r="31" spans="1:44" ht="22.5" customHeight="1" x14ac:dyDescent="0.15">
      <c r="A31">
        <v>26</v>
      </c>
      <c r="B31" s="328" t="s">
        <v>97</v>
      </c>
      <c r="C31" s="327" t="s">
        <v>355</v>
      </c>
      <c r="D31" s="328" t="s">
        <v>338</v>
      </c>
      <c r="E31" s="328" t="s">
        <v>339</v>
      </c>
      <c r="F31" s="240">
        <v>1771347</v>
      </c>
      <c r="G31" s="240">
        <v>2107391</v>
      </c>
      <c r="H31" s="240">
        <v>17603</v>
      </c>
      <c r="I31" s="283">
        <v>6451413</v>
      </c>
      <c r="J31" s="287">
        <v>0.16</v>
      </c>
      <c r="K31" s="284">
        <v>10347755</v>
      </c>
      <c r="L31" s="240"/>
      <c r="M31" s="240"/>
      <c r="N31" s="240"/>
      <c r="O31" s="240"/>
      <c r="P31" s="240"/>
      <c r="Q31" s="240"/>
      <c r="R31" s="240"/>
      <c r="S31" s="240"/>
      <c r="T31" s="283"/>
      <c r="U31" s="295"/>
      <c r="V31" s="284"/>
      <c r="W31" s="240">
        <v>10347755</v>
      </c>
      <c r="X31" s="240"/>
      <c r="Y31" s="290"/>
      <c r="Z31" s="501" t="s">
        <v>360</v>
      </c>
      <c r="AA31" s="240">
        <v>3</v>
      </c>
      <c r="AB31" s="497" t="s">
        <v>362</v>
      </c>
      <c r="AC31" s="240">
        <v>11</v>
      </c>
      <c r="AD31" s="4"/>
      <c r="AE31" s="240"/>
      <c r="AF31" s="4"/>
      <c r="AG31" s="240"/>
      <c r="AH31" s="240">
        <v>3449251</v>
      </c>
      <c r="AI31" s="240">
        <v>940705</v>
      </c>
      <c r="AJ31" s="240" t="s">
        <v>440</v>
      </c>
      <c r="AK31" s="240" t="s">
        <v>440</v>
      </c>
      <c r="AL31" s="311">
        <v>0.08</v>
      </c>
      <c r="AM31" s="240">
        <v>28350</v>
      </c>
      <c r="AN31" s="240" t="s">
        <v>440</v>
      </c>
      <c r="AO31" s="240"/>
      <c r="AP31" s="302"/>
      <c r="AQ31" s="302">
        <v>17.12</v>
      </c>
      <c r="AR31" s="536" t="s">
        <v>148</v>
      </c>
    </row>
    <row r="32" spans="1:44" ht="22.5" customHeight="1" x14ac:dyDescent="0.15">
      <c r="A32">
        <v>27</v>
      </c>
      <c r="B32" s="323" t="s">
        <v>98</v>
      </c>
      <c r="C32" s="324" t="s">
        <v>99</v>
      </c>
      <c r="D32" s="325" t="s">
        <v>35</v>
      </c>
      <c r="E32" s="326" t="s">
        <v>36</v>
      </c>
      <c r="F32" s="240">
        <v>4483861239</v>
      </c>
      <c r="G32" s="240">
        <v>152331100</v>
      </c>
      <c r="H32" s="240">
        <v>119269701</v>
      </c>
      <c r="I32" s="283">
        <v>381215181</v>
      </c>
      <c r="J32" s="285">
        <v>630</v>
      </c>
      <c r="K32" s="284">
        <v>5136677222</v>
      </c>
      <c r="L32" s="240"/>
      <c r="M32" s="240"/>
      <c r="N32" s="240"/>
      <c r="O32" s="240"/>
      <c r="P32" s="240"/>
      <c r="Q32" s="240"/>
      <c r="R32" s="240"/>
      <c r="S32" s="240"/>
      <c r="T32" s="283"/>
      <c r="U32" s="288"/>
      <c r="V32" s="284"/>
      <c r="W32" s="240">
        <v>5136677222</v>
      </c>
      <c r="X32" s="240"/>
      <c r="Y32" s="290"/>
      <c r="Z32" s="301" t="s">
        <v>458</v>
      </c>
      <c r="AA32" s="240">
        <v>5442724</v>
      </c>
      <c r="AB32" s="4"/>
      <c r="AC32" s="240"/>
      <c r="AD32" s="4"/>
      <c r="AE32" s="240"/>
      <c r="AF32" s="4"/>
      <c r="AG32" s="240"/>
      <c r="AH32" s="240">
        <v>943</v>
      </c>
      <c r="AI32" s="240" t="s">
        <v>440</v>
      </c>
      <c r="AJ32" s="240" t="s">
        <v>440</v>
      </c>
      <c r="AK32" s="240" t="s">
        <v>440</v>
      </c>
      <c r="AL32" s="240">
        <v>40</v>
      </c>
      <c r="AM32" s="240">
        <v>14073088</v>
      </c>
      <c r="AN32" s="240">
        <v>8153455</v>
      </c>
      <c r="AO32" s="240"/>
      <c r="AP32" s="302"/>
      <c r="AQ32" s="302">
        <v>87.29</v>
      </c>
      <c r="AR32" s="536" t="s">
        <v>148</v>
      </c>
    </row>
    <row r="33" spans="1:44" ht="22.5" customHeight="1" x14ac:dyDescent="0.15">
      <c r="A33">
        <v>28</v>
      </c>
      <c r="B33" s="328" t="s">
        <v>98</v>
      </c>
      <c r="C33" s="327" t="s">
        <v>354</v>
      </c>
      <c r="D33" s="328" t="s">
        <v>338</v>
      </c>
      <c r="E33" s="328" t="s">
        <v>339</v>
      </c>
      <c r="F33" s="240">
        <v>29454424</v>
      </c>
      <c r="G33" s="240">
        <v>143473000</v>
      </c>
      <c r="H33" s="240">
        <v>783481</v>
      </c>
      <c r="I33" s="283">
        <v>23624000</v>
      </c>
      <c r="J33" s="285">
        <v>4.0999999999999996</v>
      </c>
      <c r="K33" s="284">
        <v>197334905</v>
      </c>
      <c r="L33" s="240"/>
      <c r="M33" s="240"/>
      <c r="N33" s="240"/>
      <c r="O33" s="240"/>
      <c r="P33" s="240"/>
      <c r="Q33" s="240"/>
      <c r="R33" s="240"/>
      <c r="S33" s="240"/>
      <c r="T33" s="283"/>
      <c r="U33" s="295"/>
      <c r="V33" s="284"/>
      <c r="W33" s="240">
        <v>197334905</v>
      </c>
      <c r="X33" s="240">
        <v>183932000</v>
      </c>
      <c r="Y33" s="290">
        <v>93.21</v>
      </c>
      <c r="Z33" s="297" t="s">
        <v>364</v>
      </c>
      <c r="AA33" s="240">
        <v>38525</v>
      </c>
      <c r="AB33" s="4" t="s">
        <v>374</v>
      </c>
      <c r="AC33" s="240">
        <v>30850</v>
      </c>
      <c r="AD33" s="4"/>
      <c r="AE33" s="240"/>
      <c r="AF33" s="4"/>
      <c r="AG33" s="240"/>
      <c r="AH33" s="240">
        <v>5122</v>
      </c>
      <c r="AI33" s="240">
        <v>6396</v>
      </c>
      <c r="AJ33" s="240" t="s">
        <v>440</v>
      </c>
      <c r="AK33" s="240" t="s">
        <v>440</v>
      </c>
      <c r="AL33" s="240">
        <v>1</v>
      </c>
      <c r="AM33" s="240">
        <v>540643</v>
      </c>
      <c r="AN33" s="240">
        <v>47683155</v>
      </c>
      <c r="AO33" s="240"/>
      <c r="AP33" s="302"/>
      <c r="AQ33" s="302">
        <v>14.93</v>
      </c>
      <c r="AR33" s="536" t="s">
        <v>148</v>
      </c>
    </row>
    <row r="34" spans="1:44" ht="22.5" customHeight="1" x14ac:dyDescent="0.15">
      <c r="A34">
        <v>29</v>
      </c>
      <c r="B34" s="323" t="s">
        <v>98</v>
      </c>
      <c r="C34" s="324" t="s">
        <v>100</v>
      </c>
      <c r="D34" s="325" t="s">
        <v>35</v>
      </c>
      <c r="E34" s="326" t="s">
        <v>36</v>
      </c>
      <c r="F34" s="240">
        <v>21280547788</v>
      </c>
      <c r="G34" s="240">
        <v>1221674304</v>
      </c>
      <c r="H34" s="240">
        <v>1541073576</v>
      </c>
      <c r="I34" s="283">
        <v>9457854215</v>
      </c>
      <c r="J34" s="285"/>
      <c r="K34" s="284">
        <v>33501149883</v>
      </c>
      <c r="L34" s="240"/>
      <c r="M34" s="240"/>
      <c r="N34" s="240"/>
      <c r="O34" s="240"/>
      <c r="P34" s="240"/>
      <c r="Q34" s="240"/>
      <c r="R34" s="240"/>
      <c r="S34" s="240"/>
      <c r="T34" s="283"/>
      <c r="U34" s="288"/>
      <c r="V34" s="284"/>
      <c r="W34" s="240">
        <v>33501149883</v>
      </c>
      <c r="X34" s="240"/>
      <c r="Y34" s="290"/>
      <c r="Z34" s="501" t="s">
        <v>459</v>
      </c>
      <c r="AA34" s="240">
        <v>99976979</v>
      </c>
      <c r="AB34" s="4"/>
      <c r="AC34" s="240"/>
      <c r="AD34" s="4"/>
      <c r="AE34" s="240"/>
      <c r="AF34" s="4"/>
      <c r="AG34" s="240"/>
      <c r="AH34" s="240">
        <v>335</v>
      </c>
      <c r="AI34" s="240" t="s">
        <v>440</v>
      </c>
      <c r="AJ34" s="240" t="s">
        <v>440</v>
      </c>
      <c r="AK34" s="240" t="s">
        <v>440</v>
      </c>
      <c r="AL34" s="240">
        <v>264</v>
      </c>
      <c r="AM34" s="240">
        <v>91783972</v>
      </c>
      <c r="AN34" s="240"/>
      <c r="AO34" s="240"/>
      <c r="AP34" s="302"/>
      <c r="AQ34" s="302">
        <v>63.52</v>
      </c>
      <c r="AR34" s="536" t="s">
        <v>148</v>
      </c>
    </row>
    <row r="35" spans="1:44" ht="22.5" customHeight="1" x14ac:dyDescent="0.15">
      <c r="A35">
        <v>30</v>
      </c>
      <c r="B35" s="323" t="s">
        <v>98</v>
      </c>
      <c r="C35" s="324" t="s">
        <v>101</v>
      </c>
      <c r="D35" s="325" t="s">
        <v>35</v>
      </c>
      <c r="E35" s="326" t="s">
        <v>36</v>
      </c>
      <c r="F35" s="240">
        <v>9031777639</v>
      </c>
      <c r="G35" s="240">
        <v>518496552</v>
      </c>
      <c r="H35" s="240">
        <v>654054303</v>
      </c>
      <c r="I35" s="283">
        <v>5346935724</v>
      </c>
      <c r="J35" s="285">
        <v>1269</v>
      </c>
      <c r="K35" s="284">
        <v>15551264220</v>
      </c>
      <c r="L35" s="240"/>
      <c r="M35" s="240"/>
      <c r="N35" s="240"/>
      <c r="O35" s="240"/>
      <c r="P35" s="240"/>
      <c r="Q35" s="240"/>
      <c r="R35" s="240"/>
      <c r="S35" s="240"/>
      <c r="T35" s="283"/>
      <c r="U35" s="288"/>
      <c r="V35" s="284"/>
      <c r="W35" s="240">
        <v>15551264220</v>
      </c>
      <c r="X35" s="240"/>
      <c r="Y35" s="290"/>
      <c r="Z35" s="297" t="s">
        <v>460</v>
      </c>
      <c r="AA35" s="240">
        <v>60782001</v>
      </c>
      <c r="AB35" s="4"/>
      <c r="AC35" s="240"/>
      <c r="AD35" s="4"/>
      <c r="AE35" s="240"/>
      <c r="AF35" s="4"/>
      <c r="AG35" s="240"/>
      <c r="AH35" s="240">
        <v>255</v>
      </c>
      <c r="AI35" s="240" t="s">
        <v>440</v>
      </c>
      <c r="AJ35" s="240" t="s">
        <v>440</v>
      </c>
      <c r="AK35" s="240" t="s">
        <v>440</v>
      </c>
      <c r="AL35" s="240">
        <v>122</v>
      </c>
      <c r="AM35" s="240">
        <v>42606203</v>
      </c>
      <c r="AN35" s="240">
        <v>12254739</v>
      </c>
      <c r="AO35" s="240"/>
      <c r="AP35" s="302"/>
      <c r="AQ35" s="302">
        <v>58.08</v>
      </c>
      <c r="AR35" s="536" t="s">
        <v>148</v>
      </c>
    </row>
    <row r="36" spans="1:44" ht="22.5" customHeight="1" x14ac:dyDescent="0.15">
      <c r="A36">
        <v>31</v>
      </c>
      <c r="B36" s="328" t="s">
        <v>102</v>
      </c>
      <c r="C36" s="327" t="s">
        <v>430</v>
      </c>
      <c r="D36" s="328" t="s">
        <v>338</v>
      </c>
      <c r="E36" s="328" t="s">
        <v>345</v>
      </c>
      <c r="F36" s="240"/>
      <c r="G36" s="240"/>
      <c r="H36" s="240"/>
      <c r="I36" s="283"/>
      <c r="J36" s="286"/>
      <c r="K36" s="284"/>
      <c r="L36" s="240">
        <v>58579188</v>
      </c>
      <c r="M36" s="240">
        <v>25143811</v>
      </c>
      <c r="N36" s="240">
        <v>17086964</v>
      </c>
      <c r="O36" s="240">
        <v>2516393</v>
      </c>
      <c r="P36" s="240">
        <v>75666152</v>
      </c>
      <c r="Q36" s="240">
        <v>3817</v>
      </c>
      <c r="R36" s="240">
        <v>27660204</v>
      </c>
      <c r="S36" s="240">
        <v>766462</v>
      </c>
      <c r="T36" s="283">
        <v>41950</v>
      </c>
      <c r="U36" s="296">
        <v>9</v>
      </c>
      <c r="V36" s="284">
        <v>104138588</v>
      </c>
      <c r="W36" s="240">
        <v>104138588</v>
      </c>
      <c r="X36" s="240">
        <v>1537572</v>
      </c>
      <c r="Y36" s="290">
        <v>1.48</v>
      </c>
      <c r="Z36" s="5" t="s">
        <v>365</v>
      </c>
      <c r="AA36" s="240">
        <v>1988</v>
      </c>
      <c r="AB36" s="4" t="s">
        <v>444</v>
      </c>
      <c r="AC36" s="240">
        <v>8</v>
      </c>
      <c r="AD36" s="4"/>
      <c r="AE36" s="240"/>
      <c r="AF36" s="4"/>
      <c r="AG36" s="240"/>
      <c r="AH36" s="240">
        <v>52383</v>
      </c>
      <c r="AI36" s="240">
        <v>13017323</v>
      </c>
      <c r="AJ36" s="240" t="s">
        <v>440</v>
      </c>
      <c r="AK36" s="240" t="s">
        <v>440</v>
      </c>
      <c r="AL36" s="310">
        <v>0.8</v>
      </c>
      <c r="AM36" s="240">
        <v>285311</v>
      </c>
      <c r="AN36" s="240">
        <v>11570954</v>
      </c>
      <c r="AO36" s="240"/>
      <c r="AP36" s="302"/>
      <c r="AQ36" s="302">
        <v>72.66</v>
      </c>
      <c r="AR36" s="537" t="s">
        <v>149</v>
      </c>
    </row>
    <row r="37" spans="1:44" ht="22.5" customHeight="1" x14ac:dyDescent="0.15">
      <c r="A37">
        <v>32</v>
      </c>
      <c r="B37" s="323" t="s">
        <v>102</v>
      </c>
      <c r="C37" s="324" t="s">
        <v>224</v>
      </c>
      <c r="D37" s="325" t="s">
        <v>35</v>
      </c>
      <c r="E37" s="328" t="s">
        <v>345</v>
      </c>
      <c r="F37" s="240">
        <v>711724</v>
      </c>
      <c r="G37" s="240">
        <v>501921</v>
      </c>
      <c r="H37" s="240">
        <v>70522</v>
      </c>
      <c r="I37" s="283"/>
      <c r="J37" s="285">
        <v>0.1</v>
      </c>
      <c r="K37" s="284">
        <v>1284167</v>
      </c>
      <c r="L37" s="240">
        <v>48587696</v>
      </c>
      <c r="M37" s="240">
        <v>203648102</v>
      </c>
      <c r="N37" s="240">
        <v>7520998</v>
      </c>
      <c r="O37" s="240">
        <v>7539523</v>
      </c>
      <c r="P37" s="240">
        <v>56108694</v>
      </c>
      <c r="Q37" s="240">
        <v>611730</v>
      </c>
      <c r="R37" s="240">
        <v>211187625</v>
      </c>
      <c r="S37" s="240"/>
      <c r="T37" s="283"/>
      <c r="U37" s="288">
        <v>1.7</v>
      </c>
      <c r="V37" s="284">
        <v>267908049</v>
      </c>
      <c r="W37" s="240">
        <v>269192217</v>
      </c>
      <c r="X37" s="240">
        <v>31607900</v>
      </c>
      <c r="Y37" s="290">
        <v>11.74</v>
      </c>
      <c r="Z37" s="5" t="s">
        <v>359</v>
      </c>
      <c r="AA37" s="240">
        <v>1385</v>
      </c>
      <c r="AB37" s="4" t="s">
        <v>241</v>
      </c>
      <c r="AC37" s="240">
        <v>1196</v>
      </c>
      <c r="AD37" s="4"/>
      <c r="AE37" s="240"/>
      <c r="AF37" s="4"/>
      <c r="AG37" s="240"/>
      <c r="AH37" s="240">
        <v>194362</v>
      </c>
      <c r="AI37" s="240">
        <v>225077</v>
      </c>
      <c r="AJ37" s="240"/>
      <c r="AK37" s="240" t="s">
        <v>440</v>
      </c>
      <c r="AL37" s="240">
        <v>2</v>
      </c>
      <c r="AM37" s="240">
        <v>737512</v>
      </c>
      <c r="AN37" s="240">
        <v>149551231</v>
      </c>
      <c r="AO37" s="240"/>
      <c r="AP37" s="302"/>
      <c r="AQ37" s="302">
        <v>21.33</v>
      </c>
      <c r="AR37" s="537" t="s">
        <v>496</v>
      </c>
    </row>
    <row r="38" spans="1:44" ht="22.5" customHeight="1" x14ac:dyDescent="0.15">
      <c r="A38">
        <v>33</v>
      </c>
      <c r="B38" s="328" t="s">
        <v>102</v>
      </c>
      <c r="C38" s="327" t="s">
        <v>429</v>
      </c>
      <c r="D38" s="328" t="s">
        <v>338</v>
      </c>
      <c r="E38" s="328" t="s">
        <v>345</v>
      </c>
      <c r="F38" s="240">
        <v>711724</v>
      </c>
      <c r="G38" s="240">
        <v>501921</v>
      </c>
      <c r="H38" s="240">
        <v>70522</v>
      </c>
      <c r="I38" s="283"/>
      <c r="J38" s="285">
        <v>0.1</v>
      </c>
      <c r="K38" s="284">
        <v>1284167</v>
      </c>
      <c r="L38" s="240">
        <v>56683377</v>
      </c>
      <c r="M38" s="240">
        <v>168438877</v>
      </c>
      <c r="N38" s="240">
        <v>53974221</v>
      </c>
      <c r="O38" s="240">
        <v>54107171</v>
      </c>
      <c r="P38" s="240">
        <v>110657598</v>
      </c>
      <c r="Q38" s="240">
        <v>587749</v>
      </c>
      <c r="R38" s="240">
        <v>222546048</v>
      </c>
      <c r="S38" s="240">
        <v>39239056</v>
      </c>
      <c r="T38" s="283"/>
      <c r="U38" s="295">
        <v>12.2</v>
      </c>
      <c r="V38" s="284">
        <v>373030451</v>
      </c>
      <c r="W38" s="240">
        <v>374314619</v>
      </c>
      <c r="X38" s="240">
        <v>134609814</v>
      </c>
      <c r="Y38" s="290">
        <v>35.96</v>
      </c>
      <c r="Z38" s="293" t="s">
        <v>365</v>
      </c>
      <c r="AA38" s="240">
        <v>8062</v>
      </c>
      <c r="AB38" s="4" t="s">
        <v>444</v>
      </c>
      <c r="AC38" s="240">
        <v>67</v>
      </c>
      <c r="AD38" s="4"/>
      <c r="AE38" s="240"/>
      <c r="AF38" s="4"/>
      <c r="AG38" s="240"/>
      <c r="AH38" s="240">
        <v>46429</v>
      </c>
      <c r="AI38" s="240">
        <v>5586785</v>
      </c>
      <c r="AJ38" s="240" t="s">
        <v>440</v>
      </c>
      <c r="AK38" s="240" t="s">
        <v>440</v>
      </c>
      <c r="AL38" s="240">
        <v>2</v>
      </c>
      <c r="AM38" s="240">
        <v>1025519</v>
      </c>
      <c r="AN38" s="240">
        <v>30432082</v>
      </c>
      <c r="AO38" s="240"/>
      <c r="AP38" s="302"/>
      <c r="AQ38" s="302">
        <v>29.91</v>
      </c>
      <c r="AR38" s="537" t="s">
        <v>149</v>
      </c>
    </row>
    <row r="39" spans="1:44" ht="22.5" customHeight="1" x14ac:dyDescent="0.15">
      <c r="A39">
        <v>34</v>
      </c>
      <c r="B39" s="328" t="s">
        <v>102</v>
      </c>
      <c r="C39" s="327" t="s">
        <v>431</v>
      </c>
      <c r="D39" s="328" t="s">
        <v>338</v>
      </c>
      <c r="E39" s="328" t="s">
        <v>345</v>
      </c>
      <c r="F39" s="240"/>
      <c r="G39" s="240"/>
      <c r="H39" s="240"/>
      <c r="I39" s="283"/>
      <c r="J39" s="285"/>
      <c r="K39" s="284"/>
      <c r="L39" s="240">
        <v>1749651642</v>
      </c>
      <c r="M39" s="240">
        <v>2901385871</v>
      </c>
      <c r="N39" s="240">
        <v>969052498</v>
      </c>
      <c r="O39" s="240">
        <v>631463990</v>
      </c>
      <c r="P39" s="240">
        <v>2718704140</v>
      </c>
      <c r="Q39" s="240">
        <v>2394786</v>
      </c>
      <c r="R39" s="240">
        <v>3532849861</v>
      </c>
      <c r="S39" s="240">
        <v>1119620571</v>
      </c>
      <c r="T39" s="283">
        <v>6757504</v>
      </c>
      <c r="U39" s="288">
        <v>246</v>
      </c>
      <c r="V39" s="284">
        <v>7380326864</v>
      </c>
      <c r="W39" s="240">
        <v>7380326864</v>
      </c>
      <c r="X39" s="240">
        <v>1926594353</v>
      </c>
      <c r="Y39" s="290">
        <v>26.1</v>
      </c>
      <c r="Z39" s="5" t="s">
        <v>445</v>
      </c>
      <c r="AA39" s="240">
        <v>5051337</v>
      </c>
      <c r="AB39" s="4" t="s">
        <v>446</v>
      </c>
      <c r="AC39" s="240">
        <v>335</v>
      </c>
      <c r="AD39" s="4"/>
      <c r="AE39" s="240"/>
      <c r="AF39" s="4"/>
      <c r="AG39" s="240"/>
      <c r="AH39" s="240">
        <v>1461</v>
      </c>
      <c r="AI39" s="240">
        <v>22030826</v>
      </c>
      <c r="AJ39" s="240" t="s">
        <v>440</v>
      </c>
      <c r="AK39" s="240" t="s">
        <v>440</v>
      </c>
      <c r="AL39" s="240">
        <v>58</v>
      </c>
      <c r="AM39" s="240">
        <v>20220073</v>
      </c>
      <c r="AN39" s="240">
        <v>30001328</v>
      </c>
      <c r="AO39" s="241"/>
      <c r="AP39" s="302"/>
      <c r="AQ39" s="302">
        <v>36.869999999999997</v>
      </c>
      <c r="AR39" s="537" t="s">
        <v>149</v>
      </c>
    </row>
    <row r="40" spans="1:44" ht="22.5" customHeight="1" x14ac:dyDescent="0.15">
      <c r="A40">
        <v>35</v>
      </c>
      <c r="B40" s="328" t="s">
        <v>102</v>
      </c>
      <c r="C40" s="327" t="s">
        <v>435</v>
      </c>
      <c r="D40" s="328" t="s">
        <v>338</v>
      </c>
      <c r="E40" s="328" t="s">
        <v>345</v>
      </c>
      <c r="F40" s="240"/>
      <c r="G40" s="240"/>
      <c r="H40" s="240"/>
      <c r="I40" s="283"/>
      <c r="J40" s="285"/>
      <c r="K40" s="284"/>
      <c r="L40" s="240">
        <v>183741652</v>
      </c>
      <c r="M40" s="240">
        <v>47899249</v>
      </c>
      <c r="N40" s="240"/>
      <c r="O40" s="240"/>
      <c r="P40" s="240">
        <v>183741652</v>
      </c>
      <c r="Q40" s="240">
        <v>1387493</v>
      </c>
      <c r="R40" s="240">
        <v>47899249</v>
      </c>
      <c r="S40" s="240">
        <v>29758742</v>
      </c>
      <c r="T40" s="283"/>
      <c r="U40" s="288">
        <v>17.5</v>
      </c>
      <c r="V40" s="284">
        <v>262787137</v>
      </c>
      <c r="W40" s="240">
        <v>262787137</v>
      </c>
      <c r="X40" s="240">
        <v>5874115</v>
      </c>
      <c r="Y40" s="290">
        <v>2.2400000000000002</v>
      </c>
      <c r="Z40" s="293" t="s">
        <v>379</v>
      </c>
      <c r="AA40" s="240">
        <v>10</v>
      </c>
      <c r="AB40" s="4"/>
      <c r="AC40" s="240"/>
      <c r="AD40" s="4"/>
      <c r="AE40" s="240"/>
      <c r="AF40" s="4"/>
      <c r="AG40" s="240"/>
      <c r="AH40" s="240">
        <v>26278713</v>
      </c>
      <c r="AI40" s="240" t="s">
        <v>440</v>
      </c>
      <c r="AJ40" s="240" t="s">
        <v>440</v>
      </c>
      <c r="AK40" s="240" t="s">
        <v>440</v>
      </c>
      <c r="AL40" s="310">
        <v>2</v>
      </c>
      <c r="AM40" s="240">
        <v>719964</v>
      </c>
      <c r="AN40" s="240">
        <v>15016407</v>
      </c>
      <c r="AO40" s="241"/>
      <c r="AP40" s="302"/>
      <c r="AQ40" s="302">
        <v>70.45</v>
      </c>
      <c r="AR40" s="537" t="s">
        <v>149</v>
      </c>
    </row>
    <row r="41" spans="1:44" s="482" customFormat="1" ht="22.5" customHeight="1" x14ac:dyDescent="0.15">
      <c r="A41">
        <v>36</v>
      </c>
      <c r="B41" s="328" t="s">
        <v>102</v>
      </c>
      <c r="C41" s="327" t="s">
        <v>436</v>
      </c>
      <c r="D41" s="328" t="s">
        <v>338</v>
      </c>
      <c r="E41" s="328" t="s">
        <v>345</v>
      </c>
      <c r="F41" s="298"/>
      <c r="G41" s="298"/>
      <c r="H41" s="298"/>
      <c r="I41" s="483"/>
      <c r="J41" s="484"/>
      <c r="K41" s="485"/>
      <c r="L41" s="298">
        <v>121806264</v>
      </c>
      <c r="M41" s="298">
        <v>88875395</v>
      </c>
      <c r="N41" s="298"/>
      <c r="O41" s="298"/>
      <c r="P41" s="298">
        <v>121806264</v>
      </c>
      <c r="Q41" s="298">
        <v>824567</v>
      </c>
      <c r="R41" s="298">
        <v>88875395</v>
      </c>
      <c r="S41" s="298">
        <v>17685195</v>
      </c>
      <c r="T41" s="483"/>
      <c r="U41" s="486">
        <v>10.4</v>
      </c>
      <c r="V41" s="485">
        <v>229191422</v>
      </c>
      <c r="W41" s="298">
        <v>229191422</v>
      </c>
      <c r="X41" s="298"/>
      <c r="Y41" s="487"/>
      <c r="Z41" s="488" t="s">
        <v>447</v>
      </c>
      <c r="AA41" s="298">
        <v>7</v>
      </c>
      <c r="AB41" s="489"/>
      <c r="AC41" s="298"/>
      <c r="AD41" s="489"/>
      <c r="AE41" s="298"/>
      <c r="AF41" s="489"/>
      <c r="AG41" s="298"/>
      <c r="AH41" s="298">
        <v>32741631</v>
      </c>
      <c r="AI41" s="298" t="s">
        <v>440</v>
      </c>
      <c r="AJ41" s="298" t="s">
        <v>440</v>
      </c>
      <c r="AK41" s="298" t="s">
        <v>440</v>
      </c>
      <c r="AL41" s="298">
        <v>1</v>
      </c>
      <c r="AM41" s="298">
        <v>627921</v>
      </c>
      <c r="AN41" s="298">
        <v>22037636</v>
      </c>
      <c r="AO41" s="492"/>
      <c r="AP41" s="493"/>
      <c r="AQ41" s="493">
        <v>53.51</v>
      </c>
      <c r="AR41" s="537" t="s">
        <v>149</v>
      </c>
    </row>
    <row r="42" spans="1:44" ht="22.5" customHeight="1" x14ac:dyDescent="0.15">
      <c r="A42">
        <v>37</v>
      </c>
      <c r="B42" s="328" t="s">
        <v>102</v>
      </c>
      <c r="C42" s="327" t="s">
        <v>432</v>
      </c>
      <c r="D42" s="328" t="s">
        <v>338</v>
      </c>
      <c r="E42" s="328" t="s">
        <v>345</v>
      </c>
      <c r="F42" s="240"/>
      <c r="G42" s="240"/>
      <c r="H42" s="240"/>
      <c r="I42" s="283"/>
      <c r="J42" s="287"/>
      <c r="K42" s="284"/>
      <c r="L42" s="240">
        <v>3166708</v>
      </c>
      <c r="M42" s="240">
        <v>17159956</v>
      </c>
      <c r="N42" s="240">
        <v>1991492</v>
      </c>
      <c r="O42" s="240">
        <v>1785009</v>
      </c>
      <c r="P42" s="240">
        <v>5158200</v>
      </c>
      <c r="Q42" s="240"/>
      <c r="R42" s="240">
        <v>18944965</v>
      </c>
      <c r="S42" s="240"/>
      <c r="T42" s="283"/>
      <c r="U42" s="288">
        <v>0.6</v>
      </c>
      <c r="V42" s="284">
        <v>24103166</v>
      </c>
      <c r="W42" s="240">
        <v>24103166</v>
      </c>
      <c r="X42" s="240"/>
      <c r="Y42" s="290"/>
      <c r="Z42" s="494" t="s">
        <v>366</v>
      </c>
      <c r="AA42" s="240">
        <v>1</v>
      </c>
      <c r="AB42" s="497"/>
      <c r="AC42" s="240"/>
      <c r="AD42" s="4"/>
      <c r="AE42" s="240"/>
      <c r="AF42" s="4"/>
      <c r="AG42" s="240"/>
      <c r="AH42" s="240">
        <v>24103166</v>
      </c>
      <c r="AI42" s="240" t="s">
        <v>440</v>
      </c>
      <c r="AJ42" s="240" t="s">
        <v>440</v>
      </c>
      <c r="AK42" s="240" t="s">
        <v>440</v>
      </c>
      <c r="AL42" s="310">
        <v>0.1</v>
      </c>
      <c r="AM42" s="240">
        <v>66036</v>
      </c>
      <c r="AN42" s="240"/>
      <c r="AO42" s="240"/>
      <c r="AP42" s="302"/>
      <c r="AQ42" s="302">
        <v>21.4</v>
      </c>
      <c r="AR42" s="537" t="s">
        <v>149</v>
      </c>
    </row>
    <row r="43" spans="1:44" ht="22.5" customHeight="1" x14ac:dyDescent="0.15">
      <c r="A43">
        <v>38</v>
      </c>
      <c r="B43" s="351" t="s">
        <v>102</v>
      </c>
      <c r="C43" s="351" t="s">
        <v>433</v>
      </c>
      <c r="D43" s="351" t="s">
        <v>338</v>
      </c>
      <c r="E43" s="351" t="s">
        <v>345</v>
      </c>
      <c r="F43" s="240">
        <v>185048241</v>
      </c>
      <c r="G43" s="240">
        <v>156522140</v>
      </c>
      <c r="H43" s="240">
        <v>23191398</v>
      </c>
      <c r="I43" s="283"/>
      <c r="J43" s="285">
        <v>26</v>
      </c>
      <c r="K43" s="284">
        <v>364761780</v>
      </c>
      <c r="L43" s="240">
        <v>1519430860622</v>
      </c>
      <c r="M43" s="240">
        <v>1526241528917</v>
      </c>
      <c r="N43" s="240"/>
      <c r="O43" s="240">
        <v>108188698158</v>
      </c>
      <c r="P43" s="240">
        <v>1519430860622</v>
      </c>
      <c r="Q43" s="240">
        <v>2259315965</v>
      </c>
      <c r="R43" s="240">
        <v>1634430227075</v>
      </c>
      <c r="S43" s="240">
        <v>136984011454</v>
      </c>
      <c r="T43" s="283">
        <v>-3933901506</v>
      </c>
      <c r="U43" s="285">
        <v>277927</v>
      </c>
      <c r="V43" s="284">
        <v>3289170513610</v>
      </c>
      <c r="W43" s="240">
        <v>3289535275390</v>
      </c>
      <c r="X43" s="240">
        <v>1942409298934</v>
      </c>
      <c r="Y43" s="290">
        <v>59.05</v>
      </c>
      <c r="Z43" s="5"/>
      <c r="AA43" s="240"/>
      <c r="AB43" s="498"/>
      <c r="AC43" s="240"/>
      <c r="AD43" s="4"/>
      <c r="AE43" s="240"/>
      <c r="AF43" s="4"/>
      <c r="AG43" s="240"/>
      <c r="AH43" s="240" t="s">
        <v>440</v>
      </c>
      <c r="AI43" s="240" t="s">
        <v>440</v>
      </c>
      <c r="AJ43" s="240" t="s">
        <v>440</v>
      </c>
      <c r="AK43" s="240" t="s">
        <v>440</v>
      </c>
      <c r="AL43" s="240">
        <v>26015</v>
      </c>
      <c r="AM43" s="240">
        <v>9012425412</v>
      </c>
      <c r="AN43" s="240">
        <v>11834861</v>
      </c>
      <c r="AO43" s="241"/>
      <c r="AP43" s="302"/>
      <c r="AQ43" s="302">
        <v>46.26</v>
      </c>
      <c r="AR43" s="491" t="s">
        <v>149</v>
      </c>
    </row>
    <row r="44" spans="1:44" ht="22.5" customHeight="1" x14ac:dyDescent="0.15">
      <c r="A44">
        <v>39</v>
      </c>
      <c r="B44" s="328" t="s">
        <v>102</v>
      </c>
      <c r="C44" s="327" t="s">
        <v>438</v>
      </c>
      <c r="D44" s="328" t="s">
        <v>338</v>
      </c>
      <c r="E44" s="328" t="s">
        <v>345</v>
      </c>
      <c r="F44" s="240">
        <v>427034</v>
      </c>
      <c r="G44" s="240">
        <v>371022</v>
      </c>
      <c r="H44" s="240">
        <v>65745</v>
      </c>
      <c r="I44" s="283"/>
      <c r="J44" s="287">
        <v>0.06</v>
      </c>
      <c r="K44" s="284">
        <v>863801</v>
      </c>
      <c r="L44" s="240">
        <v>184708690</v>
      </c>
      <c r="M44" s="240">
        <v>5455538891</v>
      </c>
      <c r="N44" s="240">
        <v>10069135</v>
      </c>
      <c r="O44" s="240">
        <v>15163159</v>
      </c>
      <c r="P44" s="240">
        <v>194777825</v>
      </c>
      <c r="Q44" s="240">
        <v>56035</v>
      </c>
      <c r="R44" s="240">
        <v>5470702050</v>
      </c>
      <c r="S44" s="240">
        <v>43950406</v>
      </c>
      <c r="T44" s="283"/>
      <c r="U44" s="288">
        <v>22.4</v>
      </c>
      <c r="V44" s="284">
        <v>5709486317</v>
      </c>
      <c r="W44" s="240">
        <v>5710350119</v>
      </c>
      <c r="X44" s="240">
        <v>1647000</v>
      </c>
      <c r="Y44" s="290">
        <v>0.03</v>
      </c>
      <c r="Z44" s="494" t="s">
        <v>357</v>
      </c>
      <c r="AA44" s="240">
        <v>1296</v>
      </c>
      <c r="AB44" s="498" t="s">
        <v>368</v>
      </c>
      <c r="AC44" s="240">
        <v>6281</v>
      </c>
      <c r="AD44" s="4"/>
      <c r="AE44" s="240"/>
      <c r="AF44" s="4"/>
      <c r="AG44" s="240"/>
      <c r="AH44" s="240">
        <v>4406134</v>
      </c>
      <c r="AI44" s="240">
        <v>909146</v>
      </c>
      <c r="AJ44" s="240" t="s">
        <v>440</v>
      </c>
      <c r="AK44" s="240" t="s">
        <v>440</v>
      </c>
      <c r="AL44" s="240">
        <v>45</v>
      </c>
      <c r="AM44" s="240">
        <v>15644794</v>
      </c>
      <c r="AN44" s="240">
        <v>254245330</v>
      </c>
      <c r="AO44" s="240"/>
      <c r="AP44" s="302"/>
      <c r="AQ44" s="302">
        <v>3.42</v>
      </c>
      <c r="AR44" s="537" t="s">
        <v>149</v>
      </c>
    </row>
    <row r="45" spans="1:44" ht="22.5" customHeight="1" x14ac:dyDescent="0.15">
      <c r="A45">
        <v>40</v>
      </c>
      <c r="B45" s="328" t="s">
        <v>102</v>
      </c>
      <c r="C45" s="327" t="s">
        <v>462</v>
      </c>
      <c r="D45" s="328" t="s">
        <v>338</v>
      </c>
      <c r="E45" s="328" t="s">
        <v>345</v>
      </c>
      <c r="F45" s="240">
        <v>640551</v>
      </c>
      <c r="G45" s="240">
        <v>556533</v>
      </c>
      <c r="H45" s="240">
        <v>98617</v>
      </c>
      <c r="I45" s="283"/>
      <c r="J45" s="287">
        <v>0.09</v>
      </c>
      <c r="K45" s="284">
        <v>1295702</v>
      </c>
      <c r="L45" s="240">
        <v>25618541</v>
      </c>
      <c r="M45" s="240">
        <v>7918112303</v>
      </c>
      <c r="N45" s="240">
        <v>1303593</v>
      </c>
      <c r="O45" s="240">
        <v>1963087</v>
      </c>
      <c r="P45" s="240">
        <v>26922134</v>
      </c>
      <c r="Q45" s="240">
        <v>7254</v>
      </c>
      <c r="R45" s="240">
        <v>7920075390</v>
      </c>
      <c r="S45" s="240">
        <v>5690007</v>
      </c>
      <c r="T45" s="283"/>
      <c r="U45" s="288">
        <v>2.9</v>
      </c>
      <c r="V45" s="284">
        <v>7952694787</v>
      </c>
      <c r="W45" s="240">
        <v>7953990489</v>
      </c>
      <c r="X45" s="240">
        <v>396211750</v>
      </c>
      <c r="Y45" s="290">
        <v>4.9800000000000004</v>
      </c>
      <c r="Z45" s="291" t="s">
        <v>357</v>
      </c>
      <c r="AA45" s="240">
        <v>17011</v>
      </c>
      <c r="AB45" s="4" t="s">
        <v>368</v>
      </c>
      <c r="AC45" s="240">
        <v>5439</v>
      </c>
      <c r="AD45" s="4"/>
      <c r="AE45" s="240"/>
      <c r="AF45" s="4"/>
      <c r="AG45" s="240"/>
      <c r="AH45" s="240">
        <v>467579</v>
      </c>
      <c r="AI45" s="240">
        <v>1462399</v>
      </c>
      <c r="AJ45" s="240" t="s">
        <v>440</v>
      </c>
      <c r="AK45" s="240" t="s">
        <v>440</v>
      </c>
      <c r="AL45" s="240">
        <v>62</v>
      </c>
      <c r="AM45" s="240">
        <v>21791754</v>
      </c>
      <c r="AN45" s="240">
        <v>2660197488</v>
      </c>
      <c r="AO45" s="240"/>
      <c r="AP45" s="302"/>
      <c r="AQ45" s="302">
        <v>0.35</v>
      </c>
      <c r="AR45" s="537" t="s">
        <v>149</v>
      </c>
    </row>
    <row r="46" spans="1:44" ht="22.5" customHeight="1" x14ac:dyDescent="0.15">
      <c r="A46">
        <v>41</v>
      </c>
      <c r="B46" s="328" t="s">
        <v>102</v>
      </c>
      <c r="C46" s="327" t="s">
        <v>352</v>
      </c>
      <c r="D46" s="328" t="s">
        <v>338</v>
      </c>
      <c r="E46" s="328" t="s">
        <v>345</v>
      </c>
      <c r="F46" s="240">
        <v>1423448</v>
      </c>
      <c r="G46" s="240">
        <v>611857</v>
      </c>
      <c r="H46" s="240">
        <v>337083</v>
      </c>
      <c r="I46" s="283"/>
      <c r="J46" s="285">
        <v>0.2</v>
      </c>
      <c r="K46" s="284">
        <v>2372389</v>
      </c>
      <c r="L46" s="240">
        <v>468487980</v>
      </c>
      <c r="M46" s="240">
        <v>1726448276</v>
      </c>
      <c r="N46" s="240">
        <v>149905493</v>
      </c>
      <c r="O46" s="240">
        <v>220001956</v>
      </c>
      <c r="P46" s="240">
        <v>618393473</v>
      </c>
      <c r="Q46" s="240">
        <v>614123</v>
      </c>
      <c r="R46" s="240">
        <v>1946450232</v>
      </c>
      <c r="S46" s="240">
        <v>237131777</v>
      </c>
      <c r="T46" s="283">
        <v>12235</v>
      </c>
      <c r="U46" s="288">
        <v>32.1</v>
      </c>
      <c r="V46" s="284">
        <v>2802601841</v>
      </c>
      <c r="W46" s="240">
        <v>2804974231</v>
      </c>
      <c r="X46" s="240">
        <v>1401352371</v>
      </c>
      <c r="Y46" s="290">
        <v>49.96</v>
      </c>
      <c r="Z46" s="5" t="s">
        <v>448</v>
      </c>
      <c r="AA46" s="240">
        <v>4724087</v>
      </c>
      <c r="AB46" s="4" t="s">
        <v>449</v>
      </c>
      <c r="AC46" s="240">
        <v>3150</v>
      </c>
      <c r="AD46" s="4"/>
      <c r="AE46" s="240"/>
      <c r="AF46" s="4"/>
      <c r="AG46" s="240"/>
      <c r="AH46" s="240">
        <v>593</v>
      </c>
      <c r="AI46" s="240">
        <v>890468</v>
      </c>
      <c r="AJ46" s="240" t="s">
        <v>440</v>
      </c>
      <c r="AK46" s="240" t="s">
        <v>440</v>
      </c>
      <c r="AL46" s="240">
        <v>22</v>
      </c>
      <c r="AM46" s="240">
        <v>7684860</v>
      </c>
      <c r="AN46" s="240">
        <v>86841307</v>
      </c>
      <c r="AO46" s="240"/>
      <c r="AP46" s="302"/>
      <c r="AQ46" s="302">
        <v>22.12</v>
      </c>
      <c r="AR46" s="537" t="s">
        <v>149</v>
      </c>
    </row>
    <row r="47" spans="1:44" ht="23.25" customHeight="1" x14ac:dyDescent="0.15">
      <c r="A47">
        <v>42</v>
      </c>
      <c r="B47" s="328" t="s">
        <v>102</v>
      </c>
      <c r="C47" s="327" t="s">
        <v>353</v>
      </c>
      <c r="D47" s="328" t="s">
        <v>338</v>
      </c>
      <c r="E47" s="328" t="s">
        <v>345</v>
      </c>
      <c r="F47" s="240">
        <v>2846896</v>
      </c>
      <c r="G47" s="240">
        <v>1223715</v>
      </c>
      <c r="H47" s="240">
        <v>674166</v>
      </c>
      <c r="I47" s="283"/>
      <c r="J47" s="285">
        <v>0.4</v>
      </c>
      <c r="K47" s="284">
        <v>4744778</v>
      </c>
      <c r="L47" s="240">
        <v>886753724</v>
      </c>
      <c r="M47" s="240">
        <v>2344344473</v>
      </c>
      <c r="N47" s="240">
        <v>219562094</v>
      </c>
      <c r="O47" s="240">
        <v>288225823</v>
      </c>
      <c r="P47" s="240">
        <v>1106315818</v>
      </c>
      <c r="Q47" s="240">
        <v>10762916</v>
      </c>
      <c r="R47" s="240">
        <v>2632570297</v>
      </c>
      <c r="S47" s="240">
        <v>759047904</v>
      </c>
      <c r="T47" s="283">
        <v>5325396</v>
      </c>
      <c r="U47" s="288">
        <v>80</v>
      </c>
      <c r="V47" s="284">
        <v>4514022333</v>
      </c>
      <c r="W47" s="240">
        <v>4518767111</v>
      </c>
      <c r="X47" s="240">
        <v>1544754914</v>
      </c>
      <c r="Y47" s="290">
        <v>34.19</v>
      </c>
      <c r="Z47" s="5" t="s">
        <v>448</v>
      </c>
      <c r="AA47" s="240">
        <v>3977125</v>
      </c>
      <c r="AB47" s="4" t="s">
        <v>367</v>
      </c>
      <c r="AC47" s="240">
        <v>338</v>
      </c>
      <c r="AD47" s="4"/>
      <c r="AE47" s="240"/>
      <c r="AF47" s="4"/>
      <c r="AG47" s="240"/>
      <c r="AH47" s="240">
        <v>1136</v>
      </c>
      <c r="AI47" s="240">
        <v>13369133</v>
      </c>
      <c r="AJ47" s="240" t="s">
        <v>440</v>
      </c>
      <c r="AK47" s="240" t="s">
        <v>440</v>
      </c>
      <c r="AL47" s="240">
        <v>35</v>
      </c>
      <c r="AM47" s="240">
        <v>12380183</v>
      </c>
      <c r="AN47" s="240">
        <v>56203571</v>
      </c>
      <c r="AO47" s="241"/>
      <c r="AP47" s="302"/>
      <c r="AQ47" s="302">
        <v>24.78</v>
      </c>
      <c r="AR47" s="537" t="s">
        <v>149</v>
      </c>
    </row>
    <row r="48" spans="1:44" ht="22.5" customHeight="1" x14ac:dyDescent="0.15">
      <c r="A48">
        <v>43</v>
      </c>
      <c r="B48" s="323" t="s">
        <v>102</v>
      </c>
      <c r="C48" s="324" t="s">
        <v>103</v>
      </c>
      <c r="D48" s="325" t="s">
        <v>87</v>
      </c>
      <c r="E48" s="326" t="s">
        <v>38</v>
      </c>
      <c r="F48" s="240">
        <v>14234480</v>
      </c>
      <c r="G48" s="240">
        <v>10704724</v>
      </c>
      <c r="H48" s="240">
        <v>1586085</v>
      </c>
      <c r="I48" s="283"/>
      <c r="J48" s="285">
        <v>2</v>
      </c>
      <c r="K48" s="284">
        <v>26525289</v>
      </c>
      <c r="L48" s="240">
        <v>2264937610</v>
      </c>
      <c r="M48" s="240">
        <v>70657800177</v>
      </c>
      <c r="N48" s="240">
        <v>632853510</v>
      </c>
      <c r="O48" s="240">
        <v>657767365</v>
      </c>
      <c r="P48" s="240">
        <v>2897791120</v>
      </c>
      <c r="Q48" s="240">
        <v>-5670206</v>
      </c>
      <c r="R48" s="240">
        <v>71315567542</v>
      </c>
      <c r="S48" s="240"/>
      <c r="T48" s="283"/>
      <c r="U48" s="288">
        <v>328</v>
      </c>
      <c r="V48" s="284">
        <v>74207688457</v>
      </c>
      <c r="W48" s="240">
        <v>74234213746</v>
      </c>
      <c r="X48" s="240">
        <v>36736113826</v>
      </c>
      <c r="Y48" s="290">
        <v>49.49</v>
      </c>
      <c r="Z48" s="297" t="s">
        <v>242</v>
      </c>
      <c r="AA48" s="240">
        <v>5938199</v>
      </c>
      <c r="AB48" s="4"/>
      <c r="AC48" s="240"/>
      <c r="AD48" s="4"/>
      <c r="AE48" s="240"/>
      <c r="AF48" s="4"/>
      <c r="AG48" s="240"/>
      <c r="AH48" s="240">
        <v>12501</v>
      </c>
      <c r="AI48" s="240" t="s">
        <v>440</v>
      </c>
      <c r="AJ48" s="240" t="s">
        <v>440</v>
      </c>
      <c r="AK48" s="240" t="s">
        <v>440</v>
      </c>
      <c r="AL48" s="240">
        <v>587</v>
      </c>
      <c r="AM48" s="240">
        <v>203381407</v>
      </c>
      <c r="AN48" s="240">
        <v>224952162</v>
      </c>
      <c r="AO48" s="241">
        <v>1811194861665</v>
      </c>
      <c r="AP48" s="302">
        <v>4.0999999999999996</v>
      </c>
      <c r="AQ48" s="302">
        <v>3.92</v>
      </c>
      <c r="AR48" s="537" t="s">
        <v>151</v>
      </c>
    </row>
    <row r="49" spans="1:44" ht="22.5" customHeight="1" x14ac:dyDescent="0.15">
      <c r="A49">
        <v>44</v>
      </c>
      <c r="B49" s="323" t="s">
        <v>104</v>
      </c>
      <c r="C49" s="324" t="s">
        <v>105</v>
      </c>
      <c r="D49" s="325" t="s">
        <v>35</v>
      </c>
      <c r="E49" s="326" t="s">
        <v>36</v>
      </c>
      <c r="F49" s="240">
        <v>2631955375</v>
      </c>
      <c r="G49" s="240">
        <v>26157144</v>
      </c>
      <c r="H49" s="240">
        <v>70521542</v>
      </c>
      <c r="I49" s="283">
        <v>777349001</v>
      </c>
      <c r="J49" s="285">
        <v>369.8</v>
      </c>
      <c r="K49" s="284">
        <v>3505983064</v>
      </c>
      <c r="L49" s="240"/>
      <c r="M49" s="240"/>
      <c r="N49" s="240"/>
      <c r="O49" s="240"/>
      <c r="P49" s="240"/>
      <c r="Q49" s="240"/>
      <c r="R49" s="240"/>
      <c r="S49" s="240"/>
      <c r="T49" s="283"/>
      <c r="U49" s="288"/>
      <c r="V49" s="284"/>
      <c r="W49" s="240">
        <v>3505983064</v>
      </c>
      <c r="X49" s="240">
        <v>167441675</v>
      </c>
      <c r="Y49" s="290">
        <v>4.78</v>
      </c>
      <c r="Z49" s="327" t="s">
        <v>243</v>
      </c>
      <c r="AA49" s="240">
        <v>59334843</v>
      </c>
      <c r="AB49" s="4"/>
      <c r="AC49" s="240"/>
      <c r="AD49" s="4"/>
      <c r="AE49" s="240"/>
      <c r="AF49" s="4"/>
      <c r="AG49" s="240"/>
      <c r="AH49" s="240">
        <v>59</v>
      </c>
      <c r="AI49" s="240" t="s">
        <v>440</v>
      </c>
      <c r="AJ49" s="240" t="s">
        <v>440</v>
      </c>
      <c r="AK49" s="240" t="s">
        <v>440</v>
      </c>
      <c r="AL49" s="240">
        <v>27</v>
      </c>
      <c r="AM49" s="240">
        <v>9605433</v>
      </c>
      <c r="AN49" s="240">
        <v>9480754</v>
      </c>
      <c r="AO49" s="241"/>
      <c r="AP49" s="302"/>
      <c r="AQ49" s="302">
        <v>75.069999999999993</v>
      </c>
      <c r="AR49" s="537" t="s">
        <v>148</v>
      </c>
    </row>
    <row r="50" spans="1:44" ht="22.5" customHeight="1" x14ac:dyDescent="0.15">
      <c r="A50">
        <v>45</v>
      </c>
      <c r="B50" s="328" t="s">
        <v>104</v>
      </c>
      <c r="C50" s="327" t="s">
        <v>351</v>
      </c>
      <c r="D50" s="328" t="s">
        <v>338</v>
      </c>
      <c r="E50" s="328" t="s">
        <v>339</v>
      </c>
      <c r="F50" s="240">
        <v>14946204</v>
      </c>
      <c r="G50" s="240">
        <v>1367683</v>
      </c>
      <c r="H50" s="240">
        <v>3687372</v>
      </c>
      <c r="I50" s="283">
        <v>114394633</v>
      </c>
      <c r="J50" s="285">
        <v>2.1</v>
      </c>
      <c r="K50" s="284">
        <v>134395893</v>
      </c>
      <c r="L50" s="240"/>
      <c r="M50" s="240"/>
      <c r="N50" s="240"/>
      <c r="O50" s="240"/>
      <c r="P50" s="240"/>
      <c r="Q50" s="240"/>
      <c r="R50" s="240"/>
      <c r="S50" s="240"/>
      <c r="T50" s="283"/>
      <c r="U50" s="288"/>
      <c r="V50" s="284"/>
      <c r="W50" s="240">
        <v>134395893</v>
      </c>
      <c r="X50" s="240">
        <v>107412800</v>
      </c>
      <c r="Y50" s="290">
        <v>79.92</v>
      </c>
      <c r="Z50" s="294" t="s">
        <v>485</v>
      </c>
      <c r="AA50" s="240">
        <v>15796</v>
      </c>
      <c r="AB50" s="299" t="s">
        <v>374</v>
      </c>
      <c r="AC50" s="240">
        <v>14376</v>
      </c>
      <c r="AD50" s="4"/>
      <c r="AE50" s="240"/>
      <c r="AF50" s="4"/>
      <c r="AG50" s="240"/>
      <c r="AH50" s="240">
        <v>8508</v>
      </c>
      <c r="AI50" s="240">
        <v>9348</v>
      </c>
      <c r="AJ50" s="240" t="s">
        <v>440</v>
      </c>
      <c r="AK50" s="240" t="s">
        <v>440</v>
      </c>
      <c r="AL50" s="240">
        <v>1</v>
      </c>
      <c r="AM50" s="240">
        <v>368207</v>
      </c>
      <c r="AN50" s="240">
        <v>63998044</v>
      </c>
      <c r="AO50" s="241"/>
      <c r="AP50" s="302"/>
      <c r="AQ50" s="302">
        <v>11.12</v>
      </c>
      <c r="AR50" s="537" t="s">
        <v>148</v>
      </c>
    </row>
    <row r="51" spans="1:44" ht="22.5" customHeight="1" x14ac:dyDescent="0.15">
      <c r="A51">
        <v>46</v>
      </c>
      <c r="B51" s="323" t="s">
        <v>104</v>
      </c>
      <c r="C51" s="324" t="s">
        <v>225</v>
      </c>
      <c r="D51" s="325" t="s">
        <v>35</v>
      </c>
      <c r="E51" s="326" t="s">
        <v>36</v>
      </c>
      <c r="F51" s="240">
        <v>1423448</v>
      </c>
      <c r="G51" s="240">
        <v>135417</v>
      </c>
      <c r="H51" s="240">
        <v>365094</v>
      </c>
      <c r="I51" s="283">
        <v>53783926</v>
      </c>
      <c r="J51" s="285">
        <v>0.2</v>
      </c>
      <c r="K51" s="284">
        <v>55707885</v>
      </c>
      <c r="L51" s="240"/>
      <c r="M51" s="240"/>
      <c r="N51" s="240"/>
      <c r="O51" s="240"/>
      <c r="P51" s="240"/>
      <c r="Q51" s="240"/>
      <c r="R51" s="240"/>
      <c r="S51" s="240"/>
      <c r="T51" s="283"/>
      <c r="U51" s="288"/>
      <c r="V51" s="284"/>
      <c r="W51" s="240">
        <v>55707885</v>
      </c>
      <c r="X51" s="240"/>
      <c r="Y51" s="290"/>
      <c r="Z51" s="5" t="s">
        <v>244</v>
      </c>
      <c r="AA51" s="240">
        <v>7516</v>
      </c>
      <c r="AB51" s="4"/>
      <c r="AC51" s="240"/>
      <c r="AD51" s="4"/>
      <c r="AE51" s="240"/>
      <c r="AF51" s="4"/>
      <c r="AG51" s="240"/>
      <c r="AH51" s="240">
        <v>7411</v>
      </c>
      <c r="AI51" s="240" t="s">
        <v>440</v>
      </c>
      <c r="AJ51" s="240" t="s">
        <v>440</v>
      </c>
      <c r="AK51" s="240" t="s">
        <v>440</v>
      </c>
      <c r="AL51" s="310">
        <v>0.4</v>
      </c>
      <c r="AM51" s="240">
        <v>152624</v>
      </c>
      <c r="AN51" s="240"/>
      <c r="AO51" s="241"/>
      <c r="AP51" s="302"/>
      <c r="AQ51" s="302">
        <v>2.56</v>
      </c>
      <c r="AR51" s="537" t="s">
        <v>148</v>
      </c>
    </row>
    <row r="52" spans="1:44" ht="22.5" customHeight="1" x14ac:dyDescent="0.15">
      <c r="A52">
        <v>47</v>
      </c>
      <c r="B52" s="323" t="s">
        <v>104</v>
      </c>
      <c r="C52" s="324" t="s">
        <v>193</v>
      </c>
      <c r="D52" s="325" t="s">
        <v>35</v>
      </c>
      <c r="E52" s="326" t="s">
        <v>38</v>
      </c>
      <c r="F52" s="240"/>
      <c r="G52" s="240"/>
      <c r="H52" s="240"/>
      <c r="I52" s="283"/>
      <c r="J52" s="285"/>
      <c r="K52" s="284"/>
      <c r="L52" s="240">
        <v>636653813</v>
      </c>
      <c r="M52" s="240">
        <v>313303322</v>
      </c>
      <c r="N52" s="240"/>
      <c r="O52" s="240"/>
      <c r="P52" s="240">
        <v>636653813</v>
      </c>
      <c r="Q52" s="240"/>
      <c r="R52" s="240">
        <v>313303322</v>
      </c>
      <c r="S52" s="240">
        <v>141289577</v>
      </c>
      <c r="T52" s="283"/>
      <c r="U52" s="288">
        <v>72</v>
      </c>
      <c r="V52" s="284">
        <v>1091246712</v>
      </c>
      <c r="W52" s="240">
        <v>1091246712</v>
      </c>
      <c r="X52" s="240">
        <v>300174340</v>
      </c>
      <c r="Y52" s="290">
        <v>27.51</v>
      </c>
      <c r="Z52" s="293" t="s">
        <v>245</v>
      </c>
      <c r="AA52" s="240">
        <v>456</v>
      </c>
      <c r="AB52" s="4"/>
      <c r="AC52" s="240"/>
      <c r="AD52" s="4"/>
      <c r="AE52" s="240"/>
      <c r="AF52" s="4"/>
      <c r="AG52" s="240"/>
      <c r="AH52" s="240">
        <v>2393084</v>
      </c>
      <c r="AI52" s="240" t="s">
        <v>440</v>
      </c>
      <c r="AJ52" s="240" t="s">
        <v>440</v>
      </c>
      <c r="AK52" s="240" t="s">
        <v>440</v>
      </c>
      <c r="AL52" s="240">
        <v>8</v>
      </c>
      <c r="AM52" s="240">
        <v>2989717</v>
      </c>
      <c r="AN52" s="240">
        <v>15156204</v>
      </c>
      <c r="AO52" s="240"/>
      <c r="AP52" s="302"/>
      <c r="AQ52" s="302">
        <v>58.34</v>
      </c>
      <c r="AR52" s="537" t="s">
        <v>149</v>
      </c>
    </row>
    <row r="53" spans="1:44" ht="22.5" customHeight="1" x14ac:dyDescent="0.15">
      <c r="A53">
        <v>48</v>
      </c>
      <c r="B53" s="323" t="s">
        <v>104</v>
      </c>
      <c r="C53" s="324" t="s">
        <v>108</v>
      </c>
      <c r="D53" s="325" t="s">
        <v>35</v>
      </c>
      <c r="E53" s="326" t="s">
        <v>38</v>
      </c>
      <c r="F53" s="240">
        <v>11387584</v>
      </c>
      <c r="G53" s="240">
        <v>1134023</v>
      </c>
      <c r="H53" s="240">
        <v>3057408</v>
      </c>
      <c r="I53" s="283"/>
      <c r="J53" s="285">
        <v>1.6</v>
      </c>
      <c r="K53" s="284">
        <v>15579015</v>
      </c>
      <c r="L53" s="240">
        <v>566858461</v>
      </c>
      <c r="M53" s="240">
        <v>860137608</v>
      </c>
      <c r="N53" s="240">
        <v>18400514</v>
      </c>
      <c r="O53" s="240">
        <v>24199510</v>
      </c>
      <c r="P53" s="240">
        <v>585258975</v>
      </c>
      <c r="Q53" s="240"/>
      <c r="R53" s="240">
        <v>884337118</v>
      </c>
      <c r="S53" s="240"/>
      <c r="T53" s="283"/>
      <c r="U53" s="288">
        <v>74</v>
      </c>
      <c r="V53" s="284">
        <v>1469596094</v>
      </c>
      <c r="W53" s="240">
        <v>1485175110</v>
      </c>
      <c r="X53" s="240">
        <v>1043776275</v>
      </c>
      <c r="Y53" s="290">
        <v>70.28</v>
      </c>
      <c r="Z53" s="291" t="s">
        <v>246</v>
      </c>
      <c r="AA53" s="240">
        <v>1214</v>
      </c>
      <c r="AB53" s="4"/>
      <c r="AC53" s="240"/>
      <c r="AD53" s="4"/>
      <c r="AE53" s="240"/>
      <c r="AF53" s="4"/>
      <c r="AG53" s="240"/>
      <c r="AH53" s="240">
        <v>1223373</v>
      </c>
      <c r="AI53" s="240" t="s">
        <v>440</v>
      </c>
      <c r="AJ53" s="240" t="s">
        <v>440</v>
      </c>
      <c r="AK53" s="240" t="s">
        <v>440</v>
      </c>
      <c r="AL53" s="240">
        <v>11</v>
      </c>
      <c r="AM53" s="240">
        <v>4068972</v>
      </c>
      <c r="AN53" s="240">
        <v>19645173</v>
      </c>
      <c r="AO53" s="240"/>
      <c r="AP53" s="302"/>
      <c r="AQ53" s="302">
        <v>40.17</v>
      </c>
      <c r="AR53" s="537" t="s">
        <v>149</v>
      </c>
    </row>
    <row r="54" spans="1:44" ht="22.5" customHeight="1" x14ac:dyDescent="0.15">
      <c r="A54">
        <v>49</v>
      </c>
      <c r="B54" s="323" t="s">
        <v>104</v>
      </c>
      <c r="C54" s="324" t="s">
        <v>106</v>
      </c>
      <c r="D54" s="325" t="s">
        <v>87</v>
      </c>
      <c r="E54" s="326" t="s">
        <v>36</v>
      </c>
      <c r="F54" s="240">
        <v>13472935439</v>
      </c>
      <c r="G54" s="240">
        <v>359116338</v>
      </c>
      <c r="H54" s="240">
        <v>1597147547</v>
      </c>
      <c r="I54" s="283">
        <v>29803554648</v>
      </c>
      <c r="J54" s="285">
        <v>1893</v>
      </c>
      <c r="K54" s="284">
        <v>45232753973</v>
      </c>
      <c r="L54" s="240"/>
      <c r="M54" s="240"/>
      <c r="N54" s="240"/>
      <c r="O54" s="240"/>
      <c r="P54" s="240"/>
      <c r="Q54" s="240"/>
      <c r="R54" s="240"/>
      <c r="S54" s="240"/>
      <c r="T54" s="283"/>
      <c r="U54" s="288"/>
      <c r="V54" s="284"/>
      <c r="W54" s="240">
        <v>45232753973</v>
      </c>
      <c r="X54" s="240"/>
      <c r="Y54" s="290"/>
      <c r="Z54" s="293" t="s">
        <v>247</v>
      </c>
      <c r="AA54" s="240">
        <v>5752582</v>
      </c>
      <c r="AB54" s="4"/>
      <c r="AC54" s="240"/>
      <c r="AD54" s="4"/>
      <c r="AE54" s="240"/>
      <c r="AF54" s="4"/>
      <c r="AG54" s="240"/>
      <c r="AH54" s="240">
        <v>7863</v>
      </c>
      <c r="AI54" s="240" t="s">
        <v>440</v>
      </c>
      <c r="AJ54" s="240" t="s">
        <v>440</v>
      </c>
      <c r="AK54" s="240" t="s">
        <v>440</v>
      </c>
      <c r="AL54" s="240">
        <v>357</v>
      </c>
      <c r="AM54" s="240">
        <v>123925353</v>
      </c>
      <c r="AN54" s="240">
        <v>23894745</v>
      </c>
      <c r="AO54" s="241">
        <v>746937154496</v>
      </c>
      <c r="AP54" s="302">
        <v>6.06</v>
      </c>
      <c r="AQ54" s="302">
        <v>29.79</v>
      </c>
      <c r="AR54" s="537" t="s">
        <v>150</v>
      </c>
    </row>
    <row r="55" spans="1:44" ht="22.5" customHeight="1" x14ac:dyDescent="0.15">
      <c r="A55">
        <v>50</v>
      </c>
      <c r="B55" s="323" t="s">
        <v>104</v>
      </c>
      <c r="C55" s="324" t="s">
        <v>107</v>
      </c>
      <c r="D55" s="325" t="s">
        <v>87</v>
      </c>
      <c r="E55" s="326" t="s">
        <v>36</v>
      </c>
      <c r="F55" s="240">
        <v>15234452354</v>
      </c>
      <c r="G55" s="240">
        <v>400901410</v>
      </c>
      <c r="H55" s="240">
        <v>1034369111</v>
      </c>
      <c r="I55" s="283">
        <v>36034514090</v>
      </c>
      <c r="J55" s="285">
        <v>2140.5</v>
      </c>
      <c r="K55" s="284">
        <v>52704236966</v>
      </c>
      <c r="L55" s="240"/>
      <c r="M55" s="240"/>
      <c r="N55" s="240"/>
      <c r="O55" s="240"/>
      <c r="P55" s="240"/>
      <c r="Q55" s="240"/>
      <c r="R55" s="240"/>
      <c r="S55" s="240"/>
      <c r="T55" s="283"/>
      <c r="U55" s="288"/>
      <c r="V55" s="284"/>
      <c r="W55" s="240">
        <v>52704236966</v>
      </c>
      <c r="X55" s="240"/>
      <c r="Y55" s="290"/>
      <c r="Z55" s="293" t="s">
        <v>248</v>
      </c>
      <c r="AA55" s="240">
        <v>43502</v>
      </c>
      <c r="AB55" s="4"/>
      <c r="AC55" s="240"/>
      <c r="AD55" s="4"/>
      <c r="AE55" s="240"/>
      <c r="AF55" s="4"/>
      <c r="AG55" s="240"/>
      <c r="AH55" s="240">
        <v>1211</v>
      </c>
      <c r="AI55" s="240" t="s">
        <v>440</v>
      </c>
      <c r="AJ55" s="240" t="s">
        <v>440</v>
      </c>
      <c r="AK55" s="240" t="s">
        <v>440</v>
      </c>
      <c r="AL55" s="240">
        <v>416</v>
      </c>
      <c r="AM55" s="240">
        <v>144395169</v>
      </c>
      <c r="AN55" s="240">
        <v>24622395</v>
      </c>
      <c r="AO55" s="240">
        <v>1575014565488</v>
      </c>
      <c r="AP55" s="302">
        <v>3.35</v>
      </c>
      <c r="AQ55" s="302">
        <v>28.91</v>
      </c>
      <c r="AR55" s="537" t="s">
        <v>150</v>
      </c>
    </row>
    <row r="56" spans="1:44" ht="22.5" customHeight="1" x14ac:dyDescent="0.15">
      <c r="A56">
        <v>51</v>
      </c>
      <c r="B56" s="323" t="s">
        <v>104</v>
      </c>
      <c r="C56" s="324" t="s">
        <v>192</v>
      </c>
      <c r="D56" s="325" t="s">
        <v>87</v>
      </c>
      <c r="E56" s="326" t="s">
        <v>36</v>
      </c>
      <c r="F56" s="240">
        <v>21351720</v>
      </c>
      <c r="G56" s="240">
        <v>2138374</v>
      </c>
      <c r="H56" s="240">
        <v>5765210</v>
      </c>
      <c r="I56" s="283">
        <v>24800999</v>
      </c>
      <c r="J56" s="285">
        <v>3</v>
      </c>
      <c r="K56" s="284">
        <v>54056304</v>
      </c>
      <c r="L56" s="240"/>
      <c r="M56" s="240"/>
      <c r="N56" s="240"/>
      <c r="O56" s="240"/>
      <c r="P56" s="240"/>
      <c r="Q56" s="240"/>
      <c r="R56" s="240"/>
      <c r="S56" s="240"/>
      <c r="T56" s="283"/>
      <c r="U56" s="288"/>
      <c r="V56" s="284"/>
      <c r="W56" s="240">
        <v>54056304</v>
      </c>
      <c r="X56" s="240"/>
      <c r="Y56" s="290"/>
      <c r="Z56" s="303" t="s">
        <v>249</v>
      </c>
      <c r="AA56" s="240">
        <v>3116234</v>
      </c>
      <c r="AB56" s="300"/>
      <c r="AC56" s="240"/>
      <c r="AD56" s="4"/>
      <c r="AE56" s="240"/>
      <c r="AF56" s="4"/>
      <c r="AG56" s="240"/>
      <c r="AH56" s="240">
        <v>17</v>
      </c>
      <c r="AI56" s="240" t="s">
        <v>440</v>
      </c>
      <c r="AJ56" s="240" t="s">
        <v>440</v>
      </c>
      <c r="AK56" s="240" t="s">
        <v>440</v>
      </c>
      <c r="AL56" s="310">
        <v>0.4</v>
      </c>
      <c r="AM56" s="240">
        <v>148099</v>
      </c>
      <c r="AN56" s="240">
        <v>18018768</v>
      </c>
      <c r="AO56" s="240">
        <v>122836060796</v>
      </c>
      <c r="AP56" s="302">
        <v>0.04</v>
      </c>
      <c r="AQ56" s="302">
        <v>39.5</v>
      </c>
      <c r="AR56" s="537" t="s">
        <v>150</v>
      </c>
    </row>
    <row r="57" spans="1:44" ht="22.5" customHeight="1" x14ac:dyDescent="0.15">
      <c r="A57">
        <v>52</v>
      </c>
      <c r="B57" s="323" t="s">
        <v>109</v>
      </c>
      <c r="C57" s="324" t="s">
        <v>194</v>
      </c>
      <c r="D57" s="325" t="s">
        <v>35</v>
      </c>
      <c r="E57" s="326" t="s">
        <v>36</v>
      </c>
      <c r="F57" s="240">
        <v>6648925666</v>
      </c>
      <c r="G57" s="240">
        <v>2478665316</v>
      </c>
      <c r="H57" s="240">
        <v>47758573</v>
      </c>
      <c r="I57" s="283">
        <v>1041834870</v>
      </c>
      <c r="J57" s="285">
        <v>934.2</v>
      </c>
      <c r="K57" s="284">
        <v>10217184426</v>
      </c>
      <c r="L57" s="240"/>
      <c r="M57" s="240"/>
      <c r="N57" s="240"/>
      <c r="O57" s="240"/>
      <c r="P57" s="240"/>
      <c r="Q57" s="240"/>
      <c r="R57" s="240"/>
      <c r="S57" s="240"/>
      <c r="T57" s="283"/>
      <c r="U57" s="288"/>
      <c r="V57" s="284"/>
      <c r="W57" s="240">
        <v>10217184426</v>
      </c>
      <c r="X57" s="240"/>
      <c r="Y57" s="290"/>
      <c r="Z57" s="293" t="s">
        <v>511</v>
      </c>
      <c r="AA57" s="240">
        <v>1229355</v>
      </c>
      <c r="AB57" s="4"/>
      <c r="AC57" s="240" t="s">
        <v>440</v>
      </c>
      <c r="AD57" s="4" t="s">
        <v>440</v>
      </c>
      <c r="AE57" s="240" t="s">
        <v>440</v>
      </c>
      <c r="AF57" s="4" t="s">
        <v>440</v>
      </c>
      <c r="AG57" s="240" t="s">
        <v>440</v>
      </c>
      <c r="AH57" s="240">
        <v>8311</v>
      </c>
      <c r="AI57" s="240" t="s">
        <v>440</v>
      </c>
      <c r="AJ57" s="240" t="s">
        <v>440</v>
      </c>
      <c r="AK57" s="240" t="s">
        <v>440</v>
      </c>
      <c r="AL57" s="240">
        <v>80</v>
      </c>
      <c r="AM57" s="240">
        <v>27992286</v>
      </c>
      <c r="AN57" s="240">
        <v>10936827</v>
      </c>
      <c r="AO57" s="240"/>
      <c r="AP57" s="302"/>
      <c r="AQ57" s="302">
        <v>65.08</v>
      </c>
      <c r="AR57" s="537" t="s">
        <v>148</v>
      </c>
    </row>
    <row r="58" spans="1:44" ht="22.5" customHeight="1" x14ac:dyDescent="0.15">
      <c r="A58">
        <v>53</v>
      </c>
      <c r="B58" s="323" t="s">
        <v>109</v>
      </c>
      <c r="C58" s="324" t="s">
        <v>195</v>
      </c>
      <c r="D58" s="325" t="s">
        <v>35</v>
      </c>
      <c r="E58" s="326" t="s">
        <v>36</v>
      </c>
      <c r="F58" s="240">
        <v>2244777515</v>
      </c>
      <c r="G58" s="240">
        <v>836834768</v>
      </c>
      <c r="H58" s="240">
        <v>16124014</v>
      </c>
      <c r="I58" s="283">
        <v>584725904</v>
      </c>
      <c r="J58" s="285">
        <v>315.39999999999998</v>
      </c>
      <c r="K58" s="284">
        <v>3682462202</v>
      </c>
      <c r="L58" s="240"/>
      <c r="M58" s="240"/>
      <c r="N58" s="240"/>
      <c r="O58" s="240"/>
      <c r="P58" s="240"/>
      <c r="Q58" s="240"/>
      <c r="R58" s="240"/>
      <c r="S58" s="240"/>
      <c r="T58" s="283"/>
      <c r="U58" s="295"/>
      <c r="V58" s="284"/>
      <c r="W58" s="240">
        <v>3682462202</v>
      </c>
      <c r="X58" s="240"/>
      <c r="Y58" s="290"/>
      <c r="Z58" s="293" t="s">
        <v>250</v>
      </c>
      <c r="AA58" s="240">
        <v>623304</v>
      </c>
      <c r="AB58" s="4"/>
      <c r="AC58" s="240"/>
      <c r="AD58" s="4"/>
      <c r="AE58" s="240"/>
      <c r="AF58" s="4"/>
      <c r="AG58" s="240"/>
      <c r="AH58" s="240">
        <v>5907</v>
      </c>
      <c r="AI58" s="240" t="s">
        <v>440</v>
      </c>
      <c r="AJ58" s="240" t="s">
        <v>440</v>
      </c>
      <c r="AK58" s="240" t="s">
        <v>440</v>
      </c>
      <c r="AL58" s="240">
        <v>29</v>
      </c>
      <c r="AM58" s="240">
        <v>10088937</v>
      </c>
      <c r="AN58" s="240">
        <v>11675530</v>
      </c>
      <c r="AO58" s="241"/>
      <c r="AP58" s="302"/>
      <c r="AQ58" s="302">
        <v>60.96</v>
      </c>
      <c r="AR58" s="537" t="s">
        <v>148</v>
      </c>
    </row>
    <row r="59" spans="1:44" ht="22.5" customHeight="1" x14ac:dyDescent="0.15">
      <c r="A59">
        <v>54</v>
      </c>
      <c r="B59" s="328" t="s">
        <v>109</v>
      </c>
      <c r="C59" s="327" t="s">
        <v>350</v>
      </c>
      <c r="D59" s="328" t="s">
        <v>338</v>
      </c>
      <c r="E59" s="328" t="s">
        <v>339</v>
      </c>
      <c r="F59" s="240">
        <v>25622064</v>
      </c>
      <c r="G59" s="240">
        <v>4478208</v>
      </c>
      <c r="H59" s="240">
        <v>74290</v>
      </c>
      <c r="I59" s="283">
        <v>3305033277</v>
      </c>
      <c r="J59" s="285">
        <v>3.6</v>
      </c>
      <c r="K59" s="284">
        <v>3335207840</v>
      </c>
      <c r="L59" s="240"/>
      <c r="M59" s="240"/>
      <c r="N59" s="240"/>
      <c r="O59" s="240"/>
      <c r="P59" s="240"/>
      <c r="Q59" s="240"/>
      <c r="R59" s="240"/>
      <c r="S59" s="240"/>
      <c r="T59" s="283"/>
      <c r="U59" s="288"/>
      <c r="V59" s="284"/>
      <c r="W59" s="240">
        <v>3335207840</v>
      </c>
      <c r="X59" s="240"/>
      <c r="Y59" s="290"/>
      <c r="Z59" s="293" t="s">
        <v>513</v>
      </c>
      <c r="AA59" s="240">
        <v>104</v>
      </c>
      <c r="AB59" s="4"/>
      <c r="AC59" s="240"/>
      <c r="AD59" s="4"/>
      <c r="AE59" s="240"/>
      <c r="AF59" s="4"/>
      <c r="AG59" s="240"/>
      <c r="AH59" s="240">
        <v>32069306</v>
      </c>
      <c r="AI59" s="240" t="s">
        <v>440</v>
      </c>
      <c r="AJ59" s="240" t="s">
        <v>440</v>
      </c>
      <c r="AK59" s="240" t="s">
        <v>440</v>
      </c>
      <c r="AL59" s="240">
        <v>26</v>
      </c>
      <c r="AM59" s="240">
        <v>9137555</v>
      </c>
      <c r="AN59" s="240">
        <v>926446622</v>
      </c>
      <c r="AO59" s="241"/>
      <c r="AP59" s="302"/>
      <c r="AQ59" s="302">
        <v>0.77</v>
      </c>
      <c r="AR59" s="537" t="s">
        <v>148</v>
      </c>
    </row>
    <row r="60" spans="1:44" ht="22.5" customHeight="1" x14ac:dyDescent="0.15">
      <c r="A60">
        <v>55</v>
      </c>
      <c r="B60" s="328" t="s">
        <v>109</v>
      </c>
      <c r="C60" s="327" t="s">
        <v>349</v>
      </c>
      <c r="D60" s="328" t="s">
        <v>338</v>
      </c>
      <c r="E60" s="328" t="s">
        <v>339</v>
      </c>
      <c r="F60" s="240">
        <v>7117240</v>
      </c>
      <c r="G60" s="240">
        <v>24770913</v>
      </c>
      <c r="H60" s="240">
        <v>26963</v>
      </c>
      <c r="I60" s="283"/>
      <c r="J60" s="285">
        <v>1</v>
      </c>
      <c r="K60" s="284">
        <v>31915116</v>
      </c>
      <c r="L60" s="240"/>
      <c r="M60" s="240"/>
      <c r="N60" s="240"/>
      <c r="O60" s="240"/>
      <c r="P60" s="240"/>
      <c r="Q60" s="240"/>
      <c r="R60" s="240"/>
      <c r="S60" s="240"/>
      <c r="T60" s="283"/>
      <c r="U60" s="288"/>
      <c r="V60" s="284"/>
      <c r="W60" s="240">
        <v>31915116</v>
      </c>
      <c r="X60" s="240">
        <v>16263000</v>
      </c>
      <c r="Y60" s="290">
        <v>50.96</v>
      </c>
      <c r="Z60" s="495" t="s">
        <v>450</v>
      </c>
      <c r="AA60" s="240">
        <v>1170</v>
      </c>
      <c r="AB60" s="307"/>
      <c r="AC60" s="240"/>
      <c r="AD60" s="4"/>
      <c r="AE60" s="240"/>
      <c r="AF60" s="4"/>
      <c r="AG60" s="240"/>
      <c r="AH60" s="240">
        <v>27277</v>
      </c>
      <c r="AI60" s="240" t="s">
        <v>440</v>
      </c>
      <c r="AJ60" s="240" t="s">
        <v>440</v>
      </c>
      <c r="AK60" s="240" t="s">
        <v>440</v>
      </c>
      <c r="AL60" s="310">
        <v>0.2</v>
      </c>
      <c r="AM60" s="240">
        <v>87438</v>
      </c>
      <c r="AN60" s="240">
        <v>31915116</v>
      </c>
      <c r="AO60" s="241"/>
      <c r="AP60" s="302"/>
      <c r="AQ60" s="302">
        <v>22.3</v>
      </c>
      <c r="AR60" s="537" t="s">
        <v>148</v>
      </c>
    </row>
    <row r="61" spans="1:44" ht="22.5" customHeight="1" x14ac:dyDescent="0.15">
      <c r="A61">
        <v>56</v>
      </c>
      <c r="B61" s="328" t="s">
        <v>109</v>
      </c>
      <c r="C61" s="327" t="s">
        <v>437</v>
      </c>
      <c r="D61" s="328" t="s">
        <v>338</v>
      </c>
      <c r="E61" s="328" t="s">
        <v>345</v>
      </c>
      <c r="F61" s="240">
        <v>8540688</v>
      </c>
      <c r="G61" s="240">
        <v>3183898</v>
      </c>
      <c r="H61" s="240">
        <v>61346</v>
      </c>
      <c r="I61" s="283"/>
      <c r="J61" s="285">
        <v>1.2</v>
      </c>
      <c r="K61" s="284">
        <v>11785933</v>
      </c>
      <c r="L61" s="240">
        <v>305894427</v>
      </c>
      <c r="M61" s="240">
        <v>889869672</v>
      </c>
      <c r="N61" s="240">
        <v>24872381</v>
      </c>
      <c r="O61" s="240">
        <v>12652800</v>
      </c>
      <c r="P61" s="240">
        <v>330766808</v>
      </c>
      <c r="Q61" s="240">
        <v>442319</v>
      </c>
      <c r="R61" s="240">
        <v>902522472</v>
      </c>
      <c r="S61" s="240">
        <v>6818246</v>
      </c>
      <c r="T61" s="283">
        <v>149898</v>
      </c>
      <c r="U61" s="288">
        <v>36</v>
      </c>
      <c r="V61" s="284">
        <v>1240699746</v>
      </c>
      <c r="W61" s="240">
        <v>1252485679</v>
      </c>
      <c r="X61" s="241">
        <v>196053000</v>
      </c>
      <c r="Y61" s="290">
        <v>15.65</v>
      </c>
      <c r="Z61" s="495" t="s">
        <v>371</v>
      </c>
      <c r="AA61" s="240">
        <v>42385</v>
      </c>
      <c r="AB61" s="293" t="s">
        <v>468</v>
      </c>
      <c r="AC61" s="241">
        <v>1741</v>
      </c>
      <c r="AD61" s="5" t="s">
        <v>467</v>
      </c>
      <c r="AE61" s="241">
        <v>20224</v>
      </c>
      <c r="AF61" s="5" t="s">
        <v>440</v>
      </c>
      <c r="AG61" s="241"/>
      <c r="AH61" s="241">
        <v>29550</v>
      </c>
      <c r="AI61" s="240">
        <v>719405</v>
      </c>
      <c r="AJ61" s="240">
        <v>61930</v>
      </c>
      <c r="AK61" s="241" t="s">
        <v>440</v>
      </c>
      <c r="AL61" s="241">
        <v>9</v>
      </c>
      <c r="AM61" s="240">
        <v>3431467</v>
      </c>
      <c r="AN61" s="240">
        <v>33668969</v>
      </c>
      <c r="AO61" s="241"/>
      <c r="AP61" s="302"/>
      <c r="AQ61" s="302">
        <v>27.13</v>
      </c>
      <c r="AR61" s="537" t="s">
        <v>149</v>
      </c>
    </row>
    <row r="62" spans="1:44" ht="22.5" customHeight="1" x14ac:dyDescent="0.15">
      <c r="A62">
        <v>57</v>
      </c>
      <c r="B62" s="328" t="s">
        <v>109</v>
      </c>
      <c r="C62" s="327" t="s">
        <v>442</v>
      </c>
      <c r="D62" s="328" t="s">
        <v>338</v>
      </c>
      <c r="E62" s="328" t="s">
        <v>345</v>
      </c>
      <c r="F62" s="240">
        <v>441268883</v>
      </c>
      <c r="G62" s="240">
        <v>70446684</v>
      </c>
      <c r="H62" s="240">
        <v>3215033</v>
      </c>
      <c r="I62" s="283"/>
      <c r="J62" s="285">
        <v>62</v>
      </c>
      <c r="K62" s="284">
        <v>514930602</v>
      </c>
      <c r="L62" s="240">
        <v>41509804000</v>
      </c>
      <c r="M62" s="240">
        <v>21163658000</v>
      </c>
      <c r="N62" s="240"/>
      <c r="O62" s="240"/>
      <c r="P62" s="240">
        <v>41509804000</v>
      </c>
      <c r="Q62" s="240"/>
      <c r="R62" s="240">
        <v>21163658000</v>
      </c>
      <c r="S62" s="240"/>
      <c r="T62" s="283"/>
      <c r="U62" s="285">
        <v>4981.1000000000004</v>
      </c>
      <c r="V62" s="284">
        <v>62673462000</v>
      </c>
      <c r="W62" s="240">
        <v>63188392602</v>
      </c>
      <c r="X62" s="240">
        <v>25952433000</v>
      </c>
      <c r="Y62" s="290">
        <v>41.07</v>
      </c>
      <c r="Z62" s="5" t="s">
        <v>369</v>
      </c>
      <c r="AA62" s="240">
        <v>1640000</v>
      </c>
      <c r="AB62" s="304"/>
      <c r="AC62" s="240"/>
      <c r="AD62" s="5"/>
      <c r="AE62" s="241"/>
      <c r="AF62" s="5"/>
      <c r="AG62" s="241"/>
      <c r="AH62" s="240">
        <v>38529</v>
      </c>
      <c r="AI62" s="240" t="s">
        <v>440</v>
      </c>
      <c r="AJ62" s="240" t="s">
        <v>440</v>
      </c>
      <c r="AK62" s="241" t="s">
        <v>440</v>
      </c>
      <c r="AL62" s="241">
        <v>499</v>
      </c>
      <c r="AM62" s="240">
        <v>173118883</v>
      </c>
      <c r="AN62" s="240">
        <v>12529623</v>
      </c>
      <c r="AO62" s="241"/>
      <c r="AP62" s="302"/>
      <c r="AQ62" s="302">
        <v>66.39</v>
      </c>
      <c r="AR62" s="537" t="s">
        <v>149</v>
      </c>
    </row>
    <row r="63" spans="1:44" ht="22.5" customHeight="1" x14ac:dyDescent="0.15">
      <c r="A63">
        <v>58</v>
      </c>
      <c r="B63" s="328" t="s">
        <v>109</v>
      </c>
      <c r="C63" s="327" t="s">
        <v>380</v>
      </c>
      <c r="D63" s="328" t="s">
        <v>346</v>
      </c>
      <c r="E63" s="328" t="s">
        <v>339</v>
      </c>
      <c r="F63" s="240">
        <v>116722737</v>
      </c>
      <c r="G63" s="240">
        <v>30294886</v>
      </c>
      <c r="H63" s="240">
        <v>844794</v>
      </c>
      <c r="I63" s="283"/>
      <c r="J63" s="285">
        <v>16.399999999999999</v>
      </c>
      <c r="K63" s="284">
        <v>147862417</v>
      </c>
      <c r="L63" s="240"/>
      <c r="M63" s="240"/>
      <c r="N63" s="240"/>
      <c r="O63" s="240"/>
      <c r="P63" s="240"/>
      <c r="Q63" s="240"/>
      <c r="R63" s="240"/>
      <c r="S63" s="240"/>
      <c r="T63" s="283"/>
      <c r="U63" s="288"/>
      <c r="V63" s="284"/>
      <c r="W63" s="240">
        <v>147862417</v>
      </c>
      <c r="X63" s="241"/>
      <c r="Y63" s="290"/>
      <c r="Z63" s="495" t="s">
        <v>370</v>
      </c>
      <c r="AA63" s="240">
        <v>83</v>
      </c>
      <c r="AB63" s="5"/>
      <c r="AC63" s="240"/>
      <c r="AD63" s="5"/>
      <c r="AE63" s="240"/>
      <c r="AF63" s="5"/>
      <c r="AG63" s="241"/>
      <c r="AH63" s="240">
        <v>1781474</v>
      </c>
      <c r="AI63" s="240" t="s">
        <v>440</v>
      </c>
      <c r="AJ63" s="240" t="s">
        <v>440</v>
      </c>
      <c r="AK63" s="241" t="s">
        <v>440</v>
      </c>
      <c r="AL63" s="241">
        <v>1</v>
      </c>
      <c r="AM63" s="240">
        <v>405102</v>
      </c>
      <c r="AN63" s="241">
        <v>9016001</v>
      </c>
      <c r="AO63" s="241">
        <v>16756232104</v>
      </c>
      <c r="AP63" s="302">
        <v>0.88</v>
      </c>
      <c r="AQ63" s="302">
        <v>78.94</v>
      </c>
      <c r="AR63" s="537" t="s">
        <v>150</v>
      </c>
    </row>
    <row r="64" spans="1:44" ht="22.5" customHeight="1" x14ac:dyDescent="0.15">
      <c r="A64">
        <v>59</v>
      </c>
      <c r="B64" s="328" t="s">
        <v>110</v>
      </c>
      <c r="C64" s="327" t="s">
        <v>475</v>
      </c>
      <c r="D64" s="328" t="s">
        <v>338</v>
      </c>
      <c r="E64" s="328" t="s">
        <v>339</v>
      </c>
      <c r="F64" s="240">
        <v>7117240</v>
      </c>
      <c r="G64" s="240">
        <v>3076399</v>
      </c>
      <c r="H64" s="240">
        <v>127409</v>
      </c>
      <c r="I64" s="283">
        <v>38880000</v>
      </c>
      <c r="J64" s="285">
        <v>1</v>
      </c>
      <c r="K64" s="284">
        <v>49201048</v>
      </c>
      <c r="L64" s="240"/>
      <c r="M64" s="240"/>
      <c r="N64" s="240"/>
      <c r="O64" s="240"/>
      <c r="P64" s="240"/>
      <c r="Q64" s="240"/>
      <c r="R64" s="240"/>
      <c r="S64" s="240"/>
      <c r="T64" s="283"/>
      <c r="U64" s="288"/>
      <c r="V64" s="284"/>
      <c r="W64" s="240">
        <v>49201048</v>
      </c>
      <c r="X64" s="240">
        <v>42219500</v>
      </c>
      <c r="Y64" s="290">
        <v>85.81</v>
      </c>
      <c r="Z64" s="5" t="s">
        <v>359</v>
      </c>
      <c r="AA64" s="240">
        <v>4967</v>
      </c>
      <c r="AB64" s="293"/>
      <c r="AC64" s="241"/>
      <c r="AD64" s="5"/>
      <c r="AE64" s="241"/>
      <c r="AF64" s="5"/>
      <c r="AG64" s="241"/>
      <c r="AH64" s="240">
        <v>9905</v>
      </c>
      <c r="AI64" s="240" t="s">
        <v>440</v>
      </c>
      <c r="AJ64" s="240" t="s">
        <v>440</v>
      </c>
      <c r="AK64" s="241" t="s">
        <v>440</v>
      </c>
      <c r="AL64" s="313">
        <v>0.3</v>
      </c>
      <c r="AM64" s="240">
        <v>134797</v>
      </c>
      <c r="AN64" s="241">
        <v>49201048</v>
      </c>
      <c r="AO64" s="241"/>
      <c r="AP64" s="302"/>
      <c r="AQ64" s="302">
        <v>14.47</v>
      </c>
      <c r="AR64" s="537" t="s">
        <v>148</v>
      </c>
    </row>
    <row r="65" spans="1:44" ht="22.5" customHeight="1" x14ac:dyDescent="0.15">
      <c r="A65">
        <v>60</v>
      </c>
      <c r="B65" s="323" t="s">
        <v>110</v>
      </c>
      <c r="C65" s="324" t="s">
        <v>111</v>
      </c>
      <c r="D65" s="325" t="s">
        <v>35</v>
      </c>
      <c r="E65" s="326" t="s">
        <v>36</v>
      </c>
      <c r="F65" s="240">
        <v>22775168</v>
      </c>
      <c r="G65" s="240">
        <v>14015191</v>
      </c>
      <c r="H65" s="240">
        <v>558482</v>
      </c>
      <c r="I65" s="283">
        <v>65679295</v>
      </c>
      <c r="J65" s="285">
        <v>3.2</v>
      </c>
      <c r="K65" s="284">
        <v>103028136</v>
      </c>
      <c r="L65" s="240"/>
      <c r="M65" s="240"/>
      <c r="N65" s="240"/>
      <c r="O65" s="240"/>
      <c r="P65" s="240"/>
      <c r="Q65" s="240"/>
      <c r="R65" s="240"/>
      <c r="S65" s="240"/>
      <c r="T65" s="283"/>
      <c r="U65" s="288"/>
      <c r="V65" s="284"/>
      <c r="W65" s="240">
        <v>103028136</v>
      </c>
      <c r="X65" s="240">
        <v>47724000</v>
      </c>
      <c r="Y65" s="290">
        <v>46.32</v>
      </c>
      <c r="Z65" s="494" t="s">
        <v>251</v>
      </c>
      <c r="AA65" s="240">
        <v>3977</v>
      </c>
      <c r="AB65" s="5"/>
      <c r="AC65" s="241"/>
      <c r="AD65" s="5"/>
      <c r="AE65" s="241"/>
      <c r="AF65" s="5"/>
      <c r="AG65" s="241"/>
      <c r="AH65" s="240">
        <v>25905</v>
      </c>
      <c r="AI65" s="240" t="s">
        <v>440</v>
      </c>
      <c r="AJ65" s="240" t="s">
        <v>440</v>
      </c>
      <c r="AK65" s="241" t="s">
        <v>440</v>
      </c>
      <c r="AL65" s="313">
        <v>0.8</v>
      </c>
      <c r="AM65" s="240">
        <v>282268</v>
      </c>
      <c r="AN65" s="240">
        <v>32196292</v>
      </c>
      <c r="AO65" s="241"/>
      <c r="AP65" s="302"/>
      <c r="AQ65" s="302">
        <v>22.11</v>
      </c>
      <c r="AR65" s="537" t="s">
        <v>148</v>
      </c>
    </row>
    <row r="66" spans="1:44" ht="22.5" customHeight="1" x14ac:dyDescent="0.15">
      <c r="A66">
        <v>61</v>
      </c>
      <c r="B66" s="328" t="s">
        <v>110</v>
      </c>
      <c r="C66" s="327" t="s">
        <v>463</v>
      </c>
      <c r="D66" s="328" t="s">
        <v>346</v>
      </c>
      <c r="E66" s="328" t="s">
        <v>345</v>
      </c>
      <c r="F66" s="240">
        <v>1053351</v>
      </c>
      <c r="G66" s="240">
        <v>653818</v>
      </c>
      <c r="H66" s="240"/>
      <c r="I66" s="283"/>
      <c r="J66" s="285">
        <v>0.1</v>
      </c>
      <c r="K66" s="284">
        <v>1707169</v>
      </c>
      <c r="L66" s="240">
        <v>3904503</v>
      </c>
      <c r="M66" s="240">
        <v>452968130</v>
      </c>
      <c r="N66" s="240">
        <v>438494</v>
      </c>
      <c r="O66" s="240">
        <v>937374</v>
      </c>
      <c r="P66" s="240">
        <v>4342997</v>
      </c>
      <c r="Q66" s="240"/>
      <c r="R66" s="240">
        <v>453905504</v>
      </c>
      <c r="S66" s="240"/>
      <c r="T66" s="283"/>
      <c r="U66" s="288">
        <v>1</v>
      </c>
      <c r="V66" s="284">
        <v>458248502</v>
      </c>
      <c r="W66" s="240">
        <v>459955671</v>
      </c>
      <c r="X66" s="240"/>
      <c r="Y66" s="290"/>
      <c r="Z66" s="5" t="s">
        <v>254</v>
      </c>
      <c r="AA66" s="241">
        <v>725</v>
      </c>
      <c r="AB66" s="5"/>
      <c r="AC66" s="241"/>
      <c r="AD66" s="5"/>
      <c r="AE66" s="241"/>
      <c r="AF66" s="5"/>
      <c r="AG66" s="241"/>
      <c r="AH66" s="240">
        <v>634421</v>
      </c>
      <c r="AI66" s="240" t="s">
        <v>440</v>
      </c>
      <c r="AJ66" s="240" t="s">
        <v>440</v>
      </c>
      <c r="AK66" s="241" t="s">
        <v>440</v>
      </c>
      <c r="AL66" s="241">
        <v>3</v>
      </c>
      <c r="AM66" s="240">
        <v>1260152</v>
      </c>
      <c r="AN66" s="240">
        <v>400658250</v>
      </c>
      <c r="AO66" s="241">
        <v>1695070495</v>
      </c>
      <c r="AP66" s="302">
        <v>27.13</v>
      </c>
      <c r="AQ66" s="302">
        <v>1.17</v>
      </c>
      <c r="AR66" s="537" t="s">
        <v>151</v>
      </c>
    </row>
    <row r="67" spans="1:44" ht="22.5" customHeight="1" x14ac:dyDescent="0.15">
      <c r="A67">
        <v>62</v>
      </c>
      <c r="B67" s="328" t="s">
        <v>110</v>
      </c>
      <c r="C67" s="327" t="s">
        <v>347</v>
      </c>
      <c r="D67" s="328" t="s">
        <v>346</v>
      </c>
      <c r="E67" s="328" t="s">
        <v>345</v>
      </c>
      <c r="F67" s="240">
        <v>31315856</v>
      </c>
      <c r="G67" s="240">
        <v>67434468</v>
      </c>
      <c r="H67" s="240">
        <v>393396399</v>
      </c>
      <c r="I67" s="283"/>
      <c r="J67" s="285">
        <v>4.4000000000000004</v>
      </c>
      <c r="K67" s="284">
        <v>492146724</v>
      </c>
      <c r="L67" s="240">
        <v>735218483</v>
      </c>
      <c r="M67" s="240">
        <v>4265642402</v>
      </c>
      <c r="N67" s="240">
        <v>12099150</v>
      </c>
      <c r="O67" s="240">
        <v>18870607</v>
      </c>
      <c r="P67" s="240">
        <v>747317633</v>
      </c>
      <c r="Q67" s="240"/>
      <c r="R67" s="240">
        <v>4284513009</v>
      </c>
      <c r="S67" s="240"/>
      <c r="T67" s="283"/>
      <c r="U67" s="288">
        <v>172.5</v>
      </c>
      <c r="V67" s="284">
        <v>5031830643</v>
      </c>
      <c r="W67" s="240">
        <v>5523977367</v>
      </c>
      <c r="X67" s="241"/>
      <c r="Y67" s="290"/>
      <c r="Z67" s="297" t="s">
        <v>254</v>
      </c>
      <c r="AA67" s="241">
        <v>4717</v>
      </c>
      <c r="AB67" s="294"/>
      <c r="AC67" s="241"/>
      <c r="AD67" s="5"/>
      <c r="AE67" s="241"/>
      <c r="AF67" s="5"/>
      <c r="AG67" s="241"/>
      <c r="AH67" s="240">
        <v>1171078</v>
      </c>
      <c r="AI67" s="240" t="s">
        <v>440</v>
      </c>
      <c r="AJ67" s="240" t="s">
        <v>440</v>
      </c>
      <c r="AK67" s="241" t="s">
        <v>440</v>
      </c>
      <c r="AL67" s="241">
        <v>43</v>
      </c>
      <c r="AM67" s="240">
        <v>15134184</v>
      </c>
      <c r="AN67" s="240">
        <v>31213950</v>
      </c>
      <c r="AO67" s="240">
        <v>52409282938</v>
      </c>
      <c r="AP67" s="302">
        <v>10.54</v>
      </c>
      <c r="AQ67" s="302">
        <v>14.1</v>
      </c>
      <c r="AR67" s="537" t="s">
        <v>151</v>
      </c>
    </row>
    <row r="68" spans="1:44" ht="22.5" customHeight="1" x14ac:dyDescent="0.15">
      <c r="A68">
        <v>63</v>
      </c>
      <c r="B68" s="323" t="s">
        <v>110</v>
      </c>
      <c r="C68" s="324" t="s">
        <v>196</v>
      </c>
      <c r="D68" s="323" t="s">
        <v>87</v>
      </c>
      <c r="E68" s="330" t="s">
        <v>38</v>
      </c>
      <c r="F68" s="240"/>
      <c r="G68" s="240"/>
      <c r="H68" s="240"/>
      <c r="I68" s="283"/>
      <c r="J68" s="285"/>
      <c r="K68" s="284"/>
      <c r="L68" s="240">
        <v>110066151</v>
      </c>
      <c r="M68" s="240">
        <v>56989659</v>
      </c>
      <c r="N68" s="240">
        <v>4665539</v>
      </c>
      <c r="O68" s="240">
        <v>4217001</v>
      </c>
      <c r="P68" s="240">
        <v>114731690</v>
      </c>
      <c r="Q68" s="240"/>
      <c r="R68" s="240">
        <v>61206660</v>
      </c>
      <c r="S68" s="240"/>
      <c r="T68" s="283"/>
      <c r="U68" s="288">
        <v>23.7</v>
      </c>
      <c r="V68" s="284">
        <v>175938351</v>
      </c>
      <c r="W68" s="240">
        <v>175938351</v>
      </c>
      <c r="X68" s="241"/>
      <c r="Y68" s="290"/>
      <c r="Z68" s="294" t="s">
        <v>252</v>
      </c>
      <c r="AA68" s="241">
        <v>252</v>
      </c>
      <c r="AB68" s="499" t="s">
        <v>253</v>
      </c>
      <c r="AC68" s="241">
        <v>617</v>
      </c>
      <c r="AD68" s="5"/>
      <c r="AE68" s="241"/>
      <c r="AF68" s="5"/>
      <c r="AG68" s="241"/>
      <c r="AH68" s="240">
        <v>698168</v>
      </c>
      <c r="AI68" s="240">
        <v>285151</v>
      </c>
      <c r="AJ68" s="240" t="s">
        <v>440</v>
      </c>
      <c r="AK68" s="241" t="s">
        <v>440</v>
      </c>
      <c r="AL68" s="241">
        <v>1</v>
      </c>
      <c r="AM68" s="241">
        <v>482022</v>
      </c>
      <c r="AN68" s="241">
        <v>7406652</v>
      </c>
      <c r="AO68" s="241">
        <v>1000386000</v>
      </c>
      <c r="AP68" s="302">
        <v>17.59</v>
      </c>
      <c r="AQ68" s="302">
        <v>65.209999999999994</v>
      </c>
      <c r="AR68" s="541" t="s">
        <v>151</v>
      </c>
    </row>
    <row r="69" spans="1:44" ht="22.5" customHeight="1" x14ac:dyDescent="0.15">
      <c r="A69">
        <v>64</v>
      </c>
      <c r="B69" s="323" t="s">
        <v>110</v>
      </c>
      <c r="C69" s="324" t="s">
        <v>348</v>
      </c>
      <c r="D69" s="323" t="s">
        <v>346</v>
      </c>
      <c r="E69" s="330" t="s">
        <v>481</v>
      </c>
      <c r="F69" s="240">
        <v>12099308</v>
      </c>
      <c r="G69" s="240">
        <v>26054226</v>
      </c>
      <c r="H69" s="240">
        <v>151994063</v>
      </c>
      <c r="I69" s="283"/>
      <c r="J69" s="285">
        <v>1.7</v>
      </c>
      <c r="K69" s="284">
        <v>190147597</v>
      </c>
      <c r="L69" s="240">
        <v>106236849</v>
      </c>
      <c r="M69" s="240">
        <v>30608703</v>
      </c>
      <c r="N69" s="240">
        <v>3142558</v>
      </c>
      <c r="O69" s="240">
        <v>2840437</v>
      </c>
      <c r="P69" s="240">
        <v>109379407</v>
      </c>
      <c r="Q69" s="240"/>
      <c r="R69" s="240">
        <v>33449140</v>
      </c>
      <c r="S69" s="240"/>
      <c r="T69" s="283"/>
      <c r="U69" s="288">
        <v>16</v>
      </c>
      <c r="V69" s="284">
        <v>142828547</v>
      </c>
      <c r="W69" s="240">
        <v>332976145</v>
      </c>
      <c r="X69" s="241"/>
      <c r="Y69" s="290"/>
      <c r="Z69" s="499" t="s">
        <v>254</v>
      </c>
      <c r="AA69" s="241">
        <v>93</v>
      </c>
      <c r="AB69" s="5" t="s">
        <v>383</v>
      </c>
      <c r="AC69" s="241">
        <v>7</v>
      </c>
      <c r="AD69" s="5"/>
      <c r="AE69" s="241"/>
      <c r="AF69" s="5"/>
      <c r="AG69" s="241"/>
      <c r="AH69" s="240">
        <v>3580388</v>
      </c>
      <c r="AI69" s="240">
        <v>47568020</v>
      </c>
      <c r="AJ69" s="240" t="s">
        <v>440</v>
      </c>
      <c r="AK69" s="241" t="s">
        <v>440</v>
      </c>
      <c r="AL69" s="241">
        <v>2</v>
      </c>
      <c r="AM69" s="240">
        <v>912263</v>
      </c>
      <c r="AN69" s="240">
        <v>18812211</v>
      </c>
      <c r="AO69" s="241">
        <v>3275279111</v>
      </c>
      <c r="AP69" s="302">
        <v>10.17</v>
      </c>
      <c r="AQ69" s="302">
        <v>36.479999999999997</v>
      </c>
      <c r="AR69" s="541" t="s">
        <v>151</v>
      </c>
    </row>
    <row r="70" spans="1:44" ht="22.5" customHeight="1" x14ac:dyDescent="0.15">
      <c r="A70">
        <v>65</v>
      </c>
      <c r="B70" s="323" t="s">
        <v>110</v>
      </c>
      <c r="C70" s="324" t="s">
        <v>441</v>
      </c>
      <c r="D70" s="323" t="s">
        <v>87</v>
      </c>
      <c r="E70" s="330" t="s">
        <v>38</v>
      </c>
      <c r="F70" s="241">
        <v>12099308</v>
      </c>
      <c r="G70" s="240">
        <v>26054226</v>
      </c>
      <c r="H70" s="240">
        <v>151994063</v>
      </c>
      <c r="I70" s="283"/>
      <c r="J70" s="352">
        <v>1.7</v>
      </c>
      <c r="K70" s="284">
        <v>190147597</v>
      </c>
      <c r="L70" s="240">
        <v>103226300</v>
      </c>
      <c r="M70" s="240">
        <v>388822923</v>
      </c>
      <c r="N70" s="240">
        <v>4307624</v>
      </c>
      <c r="O70" s="240">
        <v>10711821</v>
      </c>
      <c r="P70" s="240">
        <v>107533924</v>
      </c>
      <c r="Q70" s="241"/>
      <c r="R70" s="240">
        <v>399534744</v>
      </c>
      <c r="S70" s="241"/>
      <c r="T70" s="305"/>
      <c r="U70" s="288">
        <v>63</v>
      </c>
      <c r="V70" s="284">
        <v>507068668</v>
      </c>
      <c r="W70" s="240">
        <v>697216266</v>
      </c>
      <c r="X70" s="240"/>
      <c r="Y70" s="290"/>
      <c r="Z70" s="499" t="s">
        <v>254</v>
      </c>
      <c r="AA70" s="241">
        <v>40766</v>
      </c>
      <c r="AB70" s="5"/>
      <c r="AC70" s="241"/>
      <c r="AD70" s="5"/>
      <c r="AE70" s="241"/>
      <c r="AF70" s="5"/>
      <c r="AG70" s="241"/>
      <c r="AH70" s="240">
        <v>17102</v>
      </c>
      <c r="AI70" s="241" t="s">
        <v>440</v>
      </c>
      <c r="AJ70" s="241" t="s">
        <v>440</v>
      </c>
      <c r="AK70" s="241" t="s">
        <v>440</v>
      </c>
      <c r="AL70" s="241">
        <v>5</v>
      </c>
      <c r="AM70" s="240">
        <v>1910181</v>
      </c>
      <c r="AN70" s="240">
        <v>10776140</v>
      </c>
      <c r="AO70" s="241">
        <v>4512296663</v>
      </c>
      <c r="AP70" s="302">
        <v>15.45</v>
      </c>
      <c r="AQ70" s="302">
        <v>17.16</v>
      </c>
      <c r="AR70" s="541" t="s">
        <v>151</v>
      </c>
    </row>
    <row r="71" spans="1:44" ht="22.5" customHeight="1" x14ac:dyDescent="0.15">
      <c r="A71">
        <v>66</v>
      </c>
      <c r="B71" s="323" t="s">
        <v>112</v>
      </c>
      <c r="C71" s="324" t="s">
        <v>343</v>
      </c>
      <c r="D71" s="328" t="s">
        <v>338</v>
      </c>
      <c r="E71" s="328" t="s">
        <v>339</v>
      </c>
      <c r="F71" s="241">
        <v>725816141</v>
      </c>
      <c r="G71" s="240">
        <v>184301646</v>
      </c>
      <c r="H71" s="240"/>
      <c r="I71" s="283">
        <v>13282058488</v>
      </c>
      <c r="J71" s="352">
        <v>101.9</v>
      </c>
      <c r="K71" s="284">
        <v>14192176276</v>
      </c>
      <c r="L71" s="240"/>
      <c r="M71" s="240"/>
      <c r="N71" s="240"/>
      <c r="O71" s="240"/>
      <c r="P71" s="240"/>
      <c r="Q71" s="241"/>
      <c r="R71" s="240"/>
      <c r="S71" s="241"/>
      <c r="T71" s="305"/>
      <c r="U71" s="288"/>
      <c r="V71" s="284"/>
      <c r="W71" s="240">
        <v>14192176276</v>
      </c>
      <c r="X71" s="240"/>
      <c r="Y71" s="290"/>
      <c r="Z71" s="5" t="s">
        <v>373</v>
      </c>
      <c r="AA71" s="241">
        <v>32769581</v>
      </c>
      <c r="AB71" s="5" t="s">
        <v>476</v>
      </c>
      <c r="AC71" s="241">
        <v>4178</v>
      </c>
      <c r="AD71" s="5"/>
      <c r="AE71" s="241"/>
      <c r="AF71" s="5"/>
      <c r="AG71" s="241"/>
      <c r="AH71" s="312">
        <v>433</v>
      </c>
      <c r="AI71" s="241">
        <v>3396882</v>
      </c>
      <c r="AJ71" s="241" t="s">
        <v>440</v>
      </c>
      <c r="AK71" s="241" t="s">
        <v>440</v>
      </c>
      <c r="AL71" s="241">
        <v>112</v>
      </c>
      <c r="AM71" s="240">
        <v>38882674</v>
      </c>
      <c r="AN71" s="240">
        <v>139166270</v>
      </c>
      <c r="AO71" s="241"/>
      <c r="AP71" s="302"/>
      <c r="AQ71" s="302">
        <v>5.1100000000000003</v>
      </c>
      <c r="AR71" s="541" t="s">
        <v>148</v>
      </c>
    </row>
    <row r="72" spans="1:44" ht="22.5" customHeight="1" x14ac:dyDescent="0.15">
      <c r="A72">
        <v>67</v>
      </c>
      <c r="B72" s="328" t="s">
        <v>112</v>
      </c>
      <c r="C72" s="327" t="s">
        <v>260</v>
      </c>
      <c r="D72" s="328" t="s">
        <v>35</v>
      </c>
      <c r="E72" s="328" t="s">
        <v>36</v>
      </c>
      <c r="F72" s="241">
        <v>32027580</v>
      </c>
      <c r="G72" s="240">
        <v>271227</v>
      </c>
      <c r="H72" s="240"/>
      <c r="I72" s="283">
        <v>197128211</v>
      </c>
      <c r="J72" s="352">
        <v>4.5</v>
      </c>
      <c r="K72" s="284">
        <v>229427018</v>
      </c>
      <c r="L72" s="240"/>
      <c r="M72" s="240"/>
      <c r="N72" s="240"/>
      <c r="O72" s="240"/>
      <c r="P72" s="240"/>
      <c r="Q72" s="241"/>
      <c r="R72" s="240"/>
      <c r="S72" s="241"/>
      <c r="T72" s="305"/>
      <c r="U72" s="288"/>
      <c r="V72" s="284"/>
      <c r="W72" s="240">
        <v>229427018</v>
      </c>
      <c r="X72" s="240"/>
      <c r="Y72" s="290"/>
      <c r="Z72" s="5" t="s">
        <v>255</v>
      </c>
      <c r="AA72" s="241">
        <v>102</v>
      </c>
      <c r="AB72" s="5" t="s">
        <v>256</v>
      </c>
      <c r="AC72" s="241">
        <v>1345</v>
      </c>
      <c r="AD72" s="5"/>
      <c r="AE72" s="241"/>
      <c r="AF72" s="5"/>
      <c r="AG72" s="241"/>
      <c r="AH72" s="240">
        <v>91395</v>
      </c>
      <c r="AI72" s="241">
        <v>163646</v>
      </c>
      <c r="AJ72" s="241"/>
      <c r="AK72" s="241"/>
      <c r="AL72" s="313">
        <v>1</v>
      </c>
      <c r="AM72" s="240"/>
      <c r="AN72" s="240"/>
      <c r="AO72" s="241"/>
      <c r="AP72" s="302" t="s">
        <v>440</v>
      </c>
      <c r="AQ72" s="302">
        <v>13.96</v>
      </c>
      <c r="AR72" s="541" t="s">
        <v>148</v>
      </c>
    </row>
    <row r="73" spans="1:44" ht="22.5" customHeight="1" x14ac:dyDescent="0.15">
      <c r="A73">
        <v>68</v>
      </c>
      <c r="B73" s="328" t="s">
        <v>112</v>
      </c>
      <c r="C73" s="327" t="s">
        <v>261</v>
      </c>
      <c r="D73" s="328" t="s">
        <v>35</v>
      </c>
      <c r="E73" s="328" t="s">
        <v>36</v>
      </c>
      <c r="F73" s="241">
        <v>2846896</v>
      </c>
      <c r="G73" s="240">
        <v>24109</v>
      </c>
      <c r="H73" s="240"/>
      <c r="I73" s="283">
        <v>6451381</v>
      </c>
      <c r="J73" s="352">
        <v>0.4</v>
      </c>
      <c r="K73" s="284">
        <v>9322386</v>
      </c>
      <c r="L73" s="240"/>
      <c r="M73" s="240"/>
      <c r="N73" s="240"/>
      <c r="O73" s="240"/>
      <c r="P73" s="240"/>
      <c r="Q73" s="241"/>
      <c r="R73" s="240"/>
      <c r="S73" s="241"/>
      <c r="T73" s="305"/>
      <c r="U73" s="288"/>
      <c r="V73" s="284"/>
      <c r="W73" s="240">
        <v>9322386</v>
      </c>
      <c r="X73" s="240"/>
      <c r="Y73" s="290" t="s">
        <v>440</v>
      </c>
      <c r="Z73" s="5" t="s">
        <v>255</v>
      </c>
      <c r="AA73" s="241">
        <v>102</v>
      </c>
      <c r="AB73" s="5"/>
      <c r="AC73" s="241"/>
      <c r="AD73" s="5"/>
      <c r="AE73" s="241"/>
      <c r="AF73" s="5"/>
      <c r="AG73" s="241"/>
      <c r="AH73" s="240">
        <v>91395</v>
      </c>
      <c r="AI73" s="241"/>
      <c r="AJ73" s="241"/>
      <c r="AK73" s="241"/>
      <c r="AL73" s="241"/>
      <c r="AM73" s="240">
        <v>25540</v>
      </c>
      <c r="AN73" s="240"/>
      <c r="AO73" s="241"/>
      <c r="AP73" s="302" t="s">
        <v>440</v>
      </c>
      <c r="AQ73" s="302">
        <v>30.54</v>
      </c>
      <c r="AR73" s="541"/>
    </row>
    <row r="74" spans="1:44" ht="22.5" customHeight="1" x14ac:dyDescent="0.15">
      <c r="A74">
        <v>69</v>
      </c>
      <c r="B74" s="323" t="s">
        <v>112</v>
      </c>
      <c r="C74" s="324" t="s">
        <v>227</v>
      </c>
      <c r="D74" s="328" t="s">
        <v>35</v>
      </c>
      <c r="E74" s="328" t="s">
        <v>36</v>
      </c>
      <c r="F74" s="241">
        <v>29180684</v>
      </c>
      <c r="G74" s="240">
        <v>247118</v>
      </c>
      <c r="H74" s="240"/>
      <c r="I74" s="283">
        <v>190676830</v>
      </c>
      <c r="J74" s="352">
        <v>4.0999999999999996</v>
      </c>
      <c r="K74" s="284">
        <v>220104632</v>
      </c>
      <c r="L74" s="240"/>
      <c r="M74" s="240"/>
      <c r="N74" s="240"/>
      <c r="O74" s="240"/>
      <c r="P74" s="240"/>
      <c r="Q74" s="241"/>
      <c r="R74" s="240"/>
      <c r="S74" s="241"/>
      <c r="T74" s="305"/>
      <c r="U74" s="288"/>
      <c r="V74" s="284"/>
      <c r="W74" s="240">
        <v>220104632</v>
      </c>
      <c r="X74" s="240"/>
      <c r="Y74" s="290" t="s">
        <v>440</v>
      </c>
      <c r="Z74" s="297" t="s">
        <v>256</v>
      </c>
      <c r="AA74" s="241">
        <v>1345</v>
      </c>
      <c r="AB74" s="294"/>
      <c r="AC74" s="241"/>
      <c r="AD74" s="5"/>
      <c r="AE74" s="241"/>
      <c r="AF74" s="5"/>
      <c r="AG74" s="241"/>
      <c r="AH74" s="240">
        <v>163646</v>
      </c>
      <c r="AI74" s="241"/>
      <c r="AJ74" s="241"/>
      <c r="AK74" s="241"/>
      <c r="AL74" s="241"/>
      <c r="AM74" s="240">
        <v>603026</v>
      </c>
      <c r="AN74" s="240">
        <v>53684056</v>
      </c>
      <c r="AO74" s="241"/>
      <c r="AP74" s="302" t="s">
        <v>440</v>
      </c>
      <c r="AQ74" s="302">
        <v>13.26</v>
      </c>
      <c r="AR74" s="541"/>
    </row>
    <row r="75" spans="1:44" ht="22.5" customHeight="1" x14ac:dyDescent="0.15">
      <c r="A75">
        <v>70</v>
      </c>
      <c r="B75" s="328" t="s">
        <v>112</v>
      </c>
      <c r="C75" s="327" t="s">
        <v>113</v>
      </c>
      <c r="D75" s="328" t="s">
        <v>35</v>
      </c>
      <c r="E75" s="328" t="s">
        <v>36</v>
      </c>
      <c r="F75" s="241">
        <v>68325504</v>
      </c>
      <c r="G75" s="240">
        <v>2772132</v>
      </c>
      <c r="H75" s="240"/>
      <c r="I75" s="283">
        <v>275349038</v>
      </c>
      <c r="J75" s="352">
        <v>9.6</v>
      </c>
      <c r="K75" s="284">
        <v>346446674</v>
      </c>
      <c r="L75" s="240"/>
      <c r="M75" s="240"/>
      <c r="N75" s="240"/>
      <c r="O75" s="240"/>
      <c r="P75" s="240"/>
      <c r="Q75" s="241"/>
      <c r="R75" s="240"/>
      <c r="S75" s="241"/>
      <c r="T75" s="305"/>
      <c r="U75" s="288"/>
      <c r="V75" s="284"/>
      <c r="W75" s="240">
        <v>346446674</v>
      </c>
      <c r="X75" s="240"/>
      <c r="Y75" s="290"/>
      <c r="Z75" s="5" t="s">
        <v>231</v>
      </c>
      <c r="AA75" s="241">
        <v>6826740196</v>
      </c>
      <c r="AB75" s="5" t="s">
        <v>257</v>
      </c>
      <c r="AC75" s="241">
        <v>551</v>
      </c>
      <c r="AD75" s="5"/>
      <c r="AE75" s="241"/>
      <c r="AF75" s="5"/>
      <c r="AG75" s="241"/>
      <c r="AH75" s="311">
        <v>0.05</v>
      </c>
      <c r="AI75" s="241">
        <v>628759</v>
      </c>
      <c r="AJ75" s="241" t="s">
        <v>440</v>
      </c>
      <c r="AK75" s="241" t="s">
        <v>440</v>
      </c>
      <c r="AL75" s="241">
        <v>2</v>
      </c>
      <c r="AM75" s="240">
        <v>949168</v>
      </c>
      <c r="AN75" s="240">
        <v>36088195</v>
      </c>
      <c r="AO75" s="241"/>
      <c r="AP75" s="302"/>
      <c r="AQ75" s="302">
        <v>19.72</v>
      </c>
      <c r="AR75" s="541" t="s">
        <v>148</v>
      </c>
    </row>
    <row r="76" spans="1:44" ht="22.5" customHeight="1" x14ac:dyDescent="0.15">
      <c r="A76">
        <v>71</v>
      </c>
      <c r="B76" s="328" t="s">
        <v>112</v>
      </c>
      <c r="C76" s="327" t="s">
        <v>342</v>
      </c>
      <c r="D76" s="328" t="s">
        <v>338</v>
      </c>
      <c r="E76" s="328" t="s">
        <v>339</v>
      </c>
      <c r="F76" s="241">
        <v>10675860</v>
      </c>
      <c r="G76" s="240">
        <v>1460297</v>
      </c>
      <c r="H76" s="240"/>
      <c r="I76" s="283">
        <v>43778688</v>
      </c>
      <c r="J76" s="352">
        <v>1.5</v>
      </c>
      <c r="K76" s="284">
        <v>55914845</v>
      </c>
      <c r="L76" s="240"/>
      <c r="M76" s="240"/>
      <c r="N76" s="240"/>
      <c r="O76" s="240"/>
      <c r="P76" s="240"/>
      <c r="Q76" s="241"/>
      <c r="R76" s="240"/>
      <c r="S76" s="241"/>
      <c r="T76" s="305"/>
      <c r="U76" s="288"/>
      <c r="V76" s="284"/>
      <c r="W76" s="240">
        <v>55914845</v>
      </c>
      <c r="X76" s="240">
        <v>38322000</v>
      </c>
      <c r="Y76" s="290">
        <v>68.540000000000006</v>
      </c>
      <c r="Z76" s="5" t="s">
        <v>450</v>
      </c>
      <c r="AA76" s="241">
        <v>2957</v>
      </c>
      <c r="AB76" s="5"/>
      <c r="AC76" s="241"/>
      <c r="AD76" s="5"/>
      <c r="AE76" s="241"/>
      <c r="AF76" s="5"/>
      <c r="AG76" s="241"/>
      <c r="AH76" s="240">
        <v>18909</v>
      </c>
      <c r="AI76" s="241" t="s">
        <v>440</v>
      </c>
      <c r="AJ76" s="241" t="s">
        <v>440</v>
      </c>
      <c r="AK76" s="241" t="s">
        <v>440</v>
      </c>
      <c r="AL76" s="313">
        <v>0.4</v>
      </c>
      <c r="AM76" s="240">
        <v>153191</v>
      </c>
      <c r="AN76" s="240">
        <v>37276563</v>
      </c>
      <c r="AO76" s="241"/>
      <c r="AP76" s="302"/>
      <c r="AQ76" s="302">
        <v>19.09</v>
      </c>
      <c r="AR76" s="541" t="s">
        <v>148</v>
      </c>
    </row>
    <row r="77" spans="1:44" ht="22.5" customHeight="1" x14ac:dyDescent="0.15">
      <c r="A77">
        <v>72</v>
      </c>
      <c r="B77" s="328" t="s">
        <v>112</v>
      </c>
      <c r="C77" s="327" t="s">
        <v>344</v>
      </c>
      <c r="D77" s="328" t="s">
        <v>338</v>
      </c>
      <c r="E77" s="328" t="s">
        <v>481</v>
      </c>
      <c r="F77" s="241">
        <v>711724</v>
      </c>
      <c r="G77" s="240">
        <v>3483363</v>
      </c>
      <c r="H77" s="240" t="s">
        <v>440</v>
      </c>
      <c r="I77" s="283"/>
      <c r="J77" s="352">
        <v>0.1</v>
      </c>
      <c r="K77" s="284">
        <v>4195087</v>
      </c>
      <c r="L77" s="240">
        <v>775729449</v>
      </c>
      <c r="M77" s="240">
        <v>499383260</v>
      </c>
      <c r="N77" s="240"/>
      <c r="O77" s="240">
        <v>466424464</v>
      </c>
      <c r="P77" s="240">
        <v>775729449</v>
      </c>
      <c r="Q77" s="241">
        <v>-741119</v>
      </c>
      <c r="R77" s="240">
        <v>965807724</v>
      </c>
      <c r="S77" s="241"/>
      <c r="T77" s="305"/>
      <c r="U77" s="288">
        <v>93</v>
      </c>
      <c r="V77" s="284">
        <v>1740796054</v>
      </c>
      <c r="W77" s="240">
        <v>1744991141</v>
      </c>
      <c r="X77" s="240">
        <v>1742131350</v>
      </c>
      <c r="Y77" s="290">
        <v>99.84</v>
      </c>
      <c r="Z77" s="5" t="s">
        <v>451</v>
      </c>
      <c r="AA77" s="241">
        <v>471842</v>
      </c>
      <c r="AB77" s="5"/>
      <c r="AC77" s="241"/>
      <c r="AD77" s="5"/>
      <c r="AE77" s="241"/>
      <c r="AF77" s="5"/>
      <c r="AG77" s="241"/>
      <c r="AH77" s="240">
        <v>3698</v>
      </c>
      <c r="AI77" s="241" t="s">
        <v>440</v>
      </c>
      <c r="AJ77" s="241" t="s">
        <v>440</v>
      </c>
      <c r="AK77" s="241" t="s">
        <v>440</v>
      </c>
      <c r="AL77" s="241">
        <v>13</v>
      </c>
      <c r="AM77" s="240">
        <v>4780797</v>
      </c>
      <c r="AN77" s="240">
        <v>18743191</v>
      </c>
      <c r="AO77" s="241"/>
      <c r="AP77" s="302"/>
      <c r="AQ77" s="302">
        <v>44.45</v>
      </c>
      <c r="AR77" s="541" t="s">
        <v>149</v>
      </c>
    </row>
    <row r="78" spans="1:44" ht="22.5" customHeight="1" x14ac:dyDescent="0.15">
      <c r="A78">
        <v>73</v>
      </c>
      <c r="B78" s="331" t="s">
        <v>112</v>
      </c>
      <c r="C78" s="324" t="s">
        <v>197</v>
      </c>
      <c r="D78" s="328" t="s">
        <v>35</v>
      </c>
      <c r="E78" s="328" t="s">
        <v>38</v>
      </c>
      <c r="F78" s="241">
        <v>66190332</v>
      </c>
      <c r="G78" s="240">
        <v>14011693</v>
      </c>
      <c r="H78" s="240"/>
      <c r="I78" s="283">
        <v>15612414</v>
      </c>
      <c r="J78" s="352">
        <v>9.3000000000000007</v>
      </c>
      <c r="K78" s="284">
        <v>95814440</v>
      </c>
      <c r="L78" s="240">
        <v>439565599</v>
      </c>
      <c r="M78" s="240">
        <v>171707222</v>
      </c>
      <c r="N78" s="240">
        <v>92420115</v>
      </c>
      <c r="O78" s="240">
        <v>47442395</v>
      </c>
      <c r="P78" s="240">
        <v>531985714</v>
      </c>
      <c r="Q78" s="241">
        <v>962770</v>
      </c>
      <c r="R78" s="240">
        <v>219149617</v>
      </c>
      <c r="S78" s="241">
        <v>220700106</v>
      </c>
      <c r="T78" s="305">
        <v>291296931</v>
      </c>
      <c r="U78" s="288">
        <v>72.2</v>
      </c>
      <c r="V78" s="284">
        <v>1264095139</v>
      </c>
      <c r="W78" s="240">
        <v>1359909579</v>
      </c>
      <c r="X78" s="240">
        <v>222702729</v>
      </c>
      <c r="Y78" s="290">
        <v>16.38</v>
      </c>
      <c r="Z78" s="5" t="s">
        <v>262</v>
      </c>
      <c r="AA78" s="241">
        <v>2696</v>
      </c>
      <c r="AB78" s="5" t="s">
        <v>258</v>
      </c>
      <c r="AC78" s="241">
        <v>266</v>
      </c>
      <c r="AD78" s="5"/>
      <c r="AE78" s="241"/>
      <c r="AF78" s="5"/>
      <c r="AG78" s="241"/>
      <c r="AH78" s="240">
        <v>504417</v>
      </c>
      <c r="AI78" s="241">
        <v>5112442</v>
      </c>
      <c r="AJ78" s="241" t="s">
        <v>440</v>
      </c>
      <c r="AK78" s="241" t="s">
        <v>440</v>
      </c>
      <c r="AL78" s="241">
        <v>10</v>
      </c>
      <c r="AM78" s="240">
        <v>3725779</v>
      </c>
      <c r="AN78" s="240">
        <v>16686007</v>
      </c>
      <c r="AO78" s="241"/>
      <c r="AP78" s="302"/>
      <c r="AQ78" s="302">
        <v>44.06</v>
      </c>
      <c r="AR78" s="541" t="s">
        <v>149</v>
      </c>
    </row>
    <row r="79" spans="1:44" ht="22.5" customHeight="1" x14ac:dyDescent="0.15">
      <c r="A79">
        <v>74</v>
      </c>
      <c r="B79" s="331" t="s">
        <v>114</v>
      </c>
      <c r="C79" s="324" t="s">
        <v>340</v>
      </c>
      <c r="D79" s="328" t="s">
        <v>338</v>
      </c>
      <c r="E79" s="328" t="s">
        <v>339</v>
      </c>
      <c r="F79" s="241">
        <v>27045512</v>
      </c>
      <c r="G79" s="240">
        <v>5256341</v>
      </c>
      <c r="H79" s="240">
        <v>1248934</v>
      </c>
      <c r="I79" s="283">
        <v>4101057514</v>
      </c>
      <c r="J79" s="352">
        <v>3.8</v>
      </c>
      <c r="K79" s="284">
        <v>4134608302</v>
      </c>
      <c r="L79" s="240"/>
      <c r="M79" s="240"/>
      <c r="N79" s="240"/>
      <c r="O79" s="240"/>
      <c r="P79" s="240"/>
      <c r="Q79" s="241"/>
      <c r="R79" s="240"/>
      <c r="S79" s="241"/>
      <c r="T79" s="305"/>
      <c r="U79" s="288"/>
      <c r="V79" s="284"/>
      <c r="W79" s="240">
        <v>4134608302</v>
      </c>
      <c r="X79" s="240"/>
      <c r="Y79" s="290"/>
      <c r="Z79" s="5" t="s">
        <v>259</v>
      </c>
      <c r="AA79" s="241">
        <v>45</v>
      </c>
      <c r="AB79" s="5"/>
      <c r="AC79" s="241"/>
      <c r="AD79" s="5"/>
      <c r="AE79" s="241"/>
      <c r="AF79" s="5"/>
      <c r="AG79" s="241"/>
      <c r="AH79" s="240">
        <v>91880184</v>
      </c>
      <c r="AI79" s="241" t="s">
        <v>440</v>
      </c>
      <c r="AJ79" s="241" t="s">
        <v>440</v>
      </c>
      <c r="AK79" s="241" t="s">
        <v>440</v>
      </c>
      <c r="AL79" s="241">
        <v>32</v>
      </c>
      <c r="AM79" s="240">
        <v>11327693</v>
      </c>
      <c r="AN79" s="240">
        <v>1088054816</v>
      </c>
      <c r="AO79" s="241"/>
      <c r="AP79" s="302"/>
      <c r="AQ79" s="302">
        <v>0.65</v>
      </c>
      <c r="AR79" s="541" t="s">
        <v>148</v>
      </c>
    </row>
    <row r="80" spans="1:44" ht="22.5" customHeight="1" x14ac:dyDescent="0.15">
      <c r="A80">
        <v>75</v>
      </c>
      <c r="B80" s="328" t="s">
        <v>114</v>
      </c>
      <c r="C80" s="327" t="s">
        <v>439</v>
      </c>
      <c r="D80" s="328" t="s">
        <v>338</v>
      </c>
      <c r="E80" s="328" t="s">
        <v>339</v>
      </c>
      <c r="F80" s="241">
        <v>4270344</v>
      </c>
      <c r="G80" s="240">
        <v>385993</v>
      </c>
      <c r="H80" s="240">
        <v>193913</v>
      </c>
      <c r="I80" s="283">
        <v>104054872</v>
      </c>
      <c r="J80" s="352">
        <v>0.6</v>
      </c>
      <c r="K80" s="284">
        <v>108905122</v>
      </c>
      <c r="L80" s="240"/>
      <c r="M80" s="240"/>
      <c r="N80" s="240"/>
      <c r="O80" s="240"/>
      <c r="P80" s="240"/>
      <c r="Q80" s="241"/>
      <c r="R80" s="240"/>
      <c r="S80" s="241"/>
      <c r="T80" s="305"/>
      <c r="U80" s="288"/>
      <c r="V80" s="284"/>
      <c r="W80" s="240">
        <v>108905122</v>
      </c>
      <c r="X80" s="240"/>
      <c r="Y80" s="290"/>
      <c r="Z80" s="5" t="s">
        <v>375</v>
      </c>
      <c r="AA80" s="241">
        <v>5</v>
      </c>
      <c r="AB80" s="5"/>
      <c r="AC80" s="241"/>
      <c r="AD80" s="5"/>
      <c r="AE80" s="241"/>
      <c r="AF80" s="5"/>
      <c r="AG80" s="241"/>
      <c r="AH80" s="240">
        <v>21781024</v>
      </c>
      <c r="AI80" s="241" t="s">
        <v>440</v>
      </c>
      <c r="AJ80" s="241" t="s">
        <v>440</v>
      </c>
      <c r="AK80" s="241" t="s">
        <v>440</v>
      </c>
      <c r="AL80" s="313">
        <v>0.8</v>
      </c>
      <c r="AM80" s="240">
        <v>298370</v>
      </c>
      <c r="AN80" s="240"/>
      <c r="AO80" s="241"/>
      <c r="AP80" s="302"/>
      <c r="AQ80" s="302">
        <v>3.92</v>
      </c>
      <c r="AR80" s="541" t="s">
        <v>148</v>
      </c>
    </row>
    <row r="81" spans="1:44" ht="22.5" customHeight="1" x14ac:dyDescent="0.15">
      <c r="A81">
        <v>76</v>
      </c>
      <c r="B81" s="328" t="s">
        <v>114</v>
      </c>
      <c r="C81" s="327" t="s">
        <v>341</v>
      </c>
      <c r="D81" s="328" t="s">
        <v>338</v>
      </c>
      <c r="E81" s="328" t="s">
        <v>339</v>
      </c>
      <c r="F81" s="241">
        <v>7117240</v>
      </c>
      <c r="G81" s="240">
        <v>1697673</v>
      </c>
      <c r="H81" s="240">
        <v>110807</v>
      </c>
      <c r="I81" s="283">
        <v>55080000</v>
      </c>
      <c r="J81" s="352">
        <v>1</v>
      </c>
      <c r="K81" s="284">
        <v>64005721</v>
      </c>
      <c r="L81" s="240"/>
      <c r="M81" s="240"/>
      <c r="N81" s="240"/>
      <c r="O81" s="240"/>
      <c r="P81" s="240"/>
      <c r="Q81" s="241"/>
      <c r="R81" s="240"/>
      <c r="S81" s="241"/>
      <c r="T81" s="305"/>
      <c r="U81" s="288"/>
      <c r="V81" s="284"/>
      <c r="W81" s="240">
        <v>64005721</v>
      </c>
      <c r="X81" s="240">
        <v>8492800</v>
      </c>
      <c r="Y81" s="290">
        <v>13.27</v>
      </c>
      <c r="Z81" s="5" t="s">
        <v>450</v>
      </c>
      <c r="AA81" s="241">
        <v>1327</v>
      </c>
      <c r="AB81" s="5"/>
      <c r="AC81" s="241"/>
      <c r="AD81" s="5"/>
      <c r="AE81" s="241"/>
      <c r="AF81" s="5"/>
      <c r="AG81" s="241"/>
      <c r="AH81" s="240">
        <v>48233</v>
      </c>
      <c r="AI81" s="241" t="s">
        <v>440</v>
      </c>
      <c r="AJ81" s="241" t="s">
        <v>440</v>
      </c>
      <c r="AK81" s="241" t="s">
        <v>440</v>
      </c>
      <c r="AL81" s="313">
        <v>0.5</v>
      </c>
      <c r="AM81" s="240">
        <v>175358</v>
      </c>
      <c r="AN81" s="240">
        <v>64005721</v>
      </c>
      <c r="AO81" s="241"/>
      <c r="AP81" s="302"/>
      <c r="AQ81" s="302">
        <v>11.12</v>
      </c>
      <c r="AR81" s="541" t="s">
        <v>148</v>
      </c>
    </row>
    <row r="82" spans="1:44" ht="22.5" customHeight="1" x14ac:dyDescent="0.15">
      <c r="A82">
        <v>77</v>
      </c>
      <c r="B82" s="328" t="s">
        <v>114</v>
      </c>
      <c r="C82" s="327" t="s">
        <v>116</v>
      </c>
      <c r="D82" s="328" t="s">
        <v>35</v>
      </c>
      <c r="E82" s="328" t="s">
        <v>36</v>
      </c>
      <c r="F82" s="241">
        <v>5693792</v>
      </c>
      <c r="G82" s="240">
        <v>2169138</v>
      </c>
      <c r="H82" s="240">
        <v>39807</v>
      </c>
      <c r="I82" s="283">
        <v>1083858</v>
      </c>
      <c r="J82" s="352">
        <v>0.8</v>
      </c>
      <c r="K82" s="284">
        <v>8986596</v>
      </c>
      <c r="L82" s="240"/>
      <c r="M82" s="240"/>
      <c r="N82" s="240"/>
      <c r="O82" s="240"/>
      <c r="P82" s="240"/>
      <c r="Q82" s="241"/>
      <c r="R82" s="240"/>
      <c r="S82" s="241"/>
      <c r="T82" s="305"/>
      <c r="U82" s="288"/>
      <c r="V82" s="284"/>
      <c r="W82" s="240">
        <v>8986596</v>
      </c>
      <c r="X82" s="240">
        <v>3195900</v>
      </c>
      <c r="Y82" s="290">
        <v>35.56</v>
      </c>
      <c r="Z82" s="494" t="s">
        <v>241</v>
      </c>
      <c r="AA82" s="241">
        <v>67</v>
      </c>
      <c r="AB82" s="5"/>
      <c r="AC82" s="241"/>
      <c r="AD82" s="5"/>
      <c r="AE82" s="241"/>
      <c r="AF82" s="5"/>
      <c r="AG82" s="241"/>
      <c r="AH82" s="240">
        <v>134128</v>
      </c>
      <c r="AI82" s="241" t="s">
        <v>440</v>
      </c>
      <c r="AJ82" s="241" t="s">
        <v>440</v>
      </c>
      <c r="AK82" s="241" t="s">
        <v>440</v>
      </c>
      <c r="AL82" s="314">
        <v>7.0000000000000007E-2</v>
      </c>
      <c r="AM82" s="240">
        <v>24620</v>
      </c>
      <c r="AN82" s="240"/>
      <c r="AO82" s="241"/>
      <c r="AP82" s="302"/>
      <c r="AQ82" s="302">
        <v>63.36</v>
      </c>
      <c r="AR82" s="541" t="s">
        <v>148</v>
      </c>
    </row>
    <row r="83" spans="1:44" ht="22.5" customHeight="1" x14ac:dyDescent="0.15">
      <c r="A83">
        <v>78</v>
      </c>
      <c r="B83" s="328" t="s">
        <v>114</v>
      </c>
      <c r="C83" s="327" t="s">
        <v>115</v>
      </c>
      <c r="D83" s="328" t="s">
        <v>87</v>
      </c>
      <c r="E83" s="328" t="s">
        <v>38</v>
      </c>
      <c r="F83" s="241">
        <v>23486892</v>
      </c>
      <c r="G83" s="240">
        <v>3371500</v>
      </c>
      <c r="H83" s="240">
        <v>1072910</v>
      </c>
      <c r="I83" s="283">
        <v>64044000</v>
      </c>
      <c r="J83" s="352">
        <v>3.3</v>
      </c>
      <c r="K83" s="284">
        <v>91975303</v>
      </c>
      <c r="L83" s="240">
        <v>94793758</v>
      </c>
      <c r="M83" s="240">
        <v>216302005</v>
      </c>
      <c r="N83" s="240">
        <v>52411482</v>
      </c>
      <c r="O83" s="240">
        <v>37045918</v>
      </c>
      <c r="P83" s="240">
        <v>147205240</v>
      </c>
      <c r="Q83" s="241">
        <v>5628496</v>
      </c>
      <c r="R83" s="240">
        <v>253347923</v>
      </c>
      <c r="S83" s="241"/>
      <c r="T83" s="305"/>
      <c r="U83" s="288">
        <v>14.8</v>
      </c>
      <c r="V83" s="284">
        <v>406181659</v>
      </c>
      <c r="W83" s="240">
        <v>498156962</v>
      </c>
      <c r="X83" s="240"/>
      <c r="Y83" s="290"/>
      <c r="Z83" s="5" t="s">
        <v>259</v>
      </c>
      <c r="AA83" s="241">
        <v>166</v>
      </c>
      <c r="AB83" s="5"/>
      <c r="AC83" s="241"/>
      <c r="AD83" s="5"/>
      <c r="AE83" s="241"/>
      <c r="AF83" s="5"/>
      <c r="AG83" s="241"/>
      <c r="AH83" s="240">
        <v>3000945</v>
      </c>
      <c r="AI83" s="241"/>
      <c r="AJ83" s="241" t="s">
        <v>440</v>
      </c>
      <c r="AK83" s="241" t="s">
        <v>440</v>
      </c>
      <c r="AL83" s="241">
        <v>3</v>
      </c>
      <c r="AM83" s="240">
        <v>1364813</v>
      </c>
      <c r="AN83" s="240">
        <v>27522484</v>
      </c>
      <c r="AO83" s="241">
        <v>4568313793</v>
      </c>
      <c r="AP83" s="302">
        <v>10.9</v>
      </c>
      <c r="AQ83" s="302">
        <v>35.39</v>
      </c>
      <c r="AR83" s="541" t="s">
        <v>151</v>
      </c>
    </row>
    <row r="84" spans="1:44" ht="22.5" customHeight="1" x14ac:dyDescent="0.15">
      <c r="A84">
        <v>79</v>
      </c>
      <c r="B84" s="328" t="s">
        <v>117</v>
      </c>
      <c r="C84" s="327" t="s">
        <v>336</v>
      </c>
      <c r="D84" s="328" t="s">
        <v>338</v>
      </c>
      <c r="E84" s="328" t="s">
        <v>339</v>
      </c>
      <c r="F84" s="241">
        <v>1644082454</v>
      </c>
      <c r="G84" s="240">
        <v>2185411729</v>
      </c>
      <c r="H84" s="240">
        <v>109709138</v>
      </c>
      <c r="I84" s="283">
        <v>1019964425</v>
      </c>
      <c r="J84" s="288">
        <v>231</v>
      </c>
      <c r="K84" s="284">
        <v>4959167747</v>
      </c>
      <c r="L84" s="240"/>
      <c r="M84" s="240"/>
      <c r="N84" s="240"/>
      <c r="O84" s="240"/>
      <c r="P84" s="240"/>
      <c r="Q84" s="241"/>
      <c r="R84" s="240"/>
      <c r="S84" s="241"/>
      <c r="T84" s="305"/>
      <c r="U84" s="288"/>
      <c r="V84" s="284"/>
      <c r="W84" s="240">
        <v>4959167747</v>
      </c>
      <c r="X84" s="240"/>
      <c r="Y84" s="290"/>
      <c r="Z84" s="5" t="s">
        <v>376</v>
      </c>
      <c r="AA84" s="241">
        <v>960</v>
      </c>
      <c r="AB84" s="5"/>
      <c r="AC84" s="241"/>
      <c r="AD84" s="5"/>
      <c r="AE84" s="241"/>
      <c r="AF84" s="5"/>
      <c r="AG84" s="241"/>
      <c r="AH84" s="240">
        <v>5165799</v>
      </c>
      <c r="AI84" s="241" t="s">
        <v>440</v>
      </c>
      <c r="AJ84" s="241" t="s">
        <v>440</v>
      </c>
      <c r="AK84" s="241" t="s">
        <v>440</v>
      </c>
      <c r="AL84" s="241">
        <v>39</v>
      </c>
      <c r="AM84" s="240">
        <v>13586760</v>
      </c>
      <c r="AN84" s="240">
        <v>21468258</v>
      </c>
      <c r="AO84" s="241"/>
      <c r="AP84" s="302"/>
      <c r="AQ84" s="302">
        <v>33.15</v>
      </c>
      <c r="AR84" s="541" t="s">
        <v>148</v>
      </c>
    </row>
    <row r="85" spans="1:44" ht="22.5" customHeight="1" x14ac:dyDescent="0.15">
      <c r="A85">
        <v>80</v>
      </c>
      <c r="B85" s="328" t="s">
        <v>117</v>
      </c>
      <c r="C85" s="327" t="s">
        <v>335</v>
      </c>
      <c r="D85" s="328" t="s">
        <v>338</v>
      </c>
      <c r="E85" s="328" t="s">
        <v>339</v>
      </c>
      <c r="F85" s="241">
        <v>2782840864</v>
      </c>
      <c r="G85" s="240">
        <v>1506064684</v>
      </c>
      <c r="H85" s="240">
        <v>415906896</v>
      </c>
      <c r="I85" s="283">
        <v>1147879271</v>
      </c>
      <c r="J85" s="288">
        <v>391</v>
      </c>
      <c r="K85" s="284">
        <v>5852691716</v>
      </c>
      <c r="L85" s="240"/>
      <c r="M85" s="240"/>
      <c r="N85" s="240"/>
      <c r="O85" s="240"/>
      <c r="P85" s="240"/>
      <c r="Q85" s="241"/>
      <c r="R85" s="240"/>
      <c r="S85" s="241"/>
      <c r="T85" s="305"/>
      <c r="U85" s="288"/>
      <c r="V85" s="284"/>
      <c r="W85" s="240">
        <v>5852691716</v>
      </c>
      <c r="X85" s="240"/>
      <c r="Y85" s="290"/>
      <c r="Z85" s="5" t="s">
        <v>376</v>
      </c>
      <c r="AA85" s="241">
        <v>2120</v>
      </c>
      <c r="AB85" s="5"/>
      <c r="AC85" s="241"/>
      <c r="AD85" s="5"/>
      <c r="AE85" s="241"/>
      <c r="AF85" s="5"/>
      <c r="AG85" s="241"/>
      <c r="AH85" s="240">
        <v>2760703</v>
      </c>
      <c r="AI85" s="241" t="s">
        <v>440</v>
      </c>
      <c r="AJ85" s="241" t="s">
        <v>440</v>
      </c>
      <c r="AK85" s="241" t="s">
        <v>440</v>
      </c>
      <c r="AL85" s="241">
        <v>46</v>
      </c>
      <c r="AM85" s="240">
        <v>16034771</v>
      </c>
      <c r="AN85" s="240">
        <v>14968521</v>
      </c>
      <c r="AO85" s="241"/>
      <c r="AP85" s="302"/>
      <c r="AQ85" s="302">
        <v>47.55</v>
      </c>
      <c r="AR85" s="541" t="s">
        <v>148</v>
      </c>
    </row>
    <row r="86" spans="1:44" ht="22.5" customHeight="1" x14ac:dyDescent="0.15">
      <c r="A86">
        <v>81</v>
      </c>
      <c r="B86" s="328" t="s">
        <v>117</v>
      </c>
      <c r="C86" s="327" t="s">
        <v>337</v>
      </c>
      <c r="D86" s="328" t="s">
        <v>338</v>
      </c>
      <c r="E86" s="328" t="s">
        <v>339</v>
      </c>
      <c r="F86" s="241">
        <v>17793100</v>
      </c>
      <c r="G86" s="240">
        <v>10794476</v>
      </c>
      <c r="H86" s="240">
        <v>206518</v>
      </c>
      <c r="I86" s="283"/>
      <c r="J86" s="288">
        <v>2.5</v>
      </c>
      <c r="K86" s="284">
        <v>28794094</v>
      </c>
      <c r="L86" s="240"/>
      <c r="M86" s="240"/>
      <c r="N86" s="240"/>
      <c r="O86" s="240"/>
      <c r="P86" s="240"/>
      <c r="Q86" s="241"/>
      <c r="R86" s="240"/>
      <c r="S86" s="241"/>
      <c r="T86" s="305"/>
      <c r="U86" s="288"/>
      <c r="V86" s="284"/>
      <c r="W86" s="240">
        <v>28794094</v>
      </c>
      <c r="X86" s="240"/>
      <c r="Y86" s="290"/>
      <c r="Z86" s="5" t="s">
        <v>452</v>
      </c>
      <c r="AA86" s="241">
        <v>3851</v>
      </c>
      <c r="AB86" s="5"/>
      <c r="AC86" s="241"/>
      <c r="AD86" s="5"/>
      <c r="AE86" s="241"/>
      <c r="AF86" s="5"/>
      <c r="AG86" s="241"/>
      <c r="AH86" s="240">
        <v>7477</v>
      </c>
      <c r="AI86" s="241" t="s">
        <v>440</v>
      </c>
      <c r="AJ86" s="241" t="s">
        <v>440</v>
      </c>
      <c r="AK86" s="241" t="s">
        <v>440</v>
      </c>
      <c r="AL86" s="313">
        <v>0.2</v>
      </c>
      <c r="AM86" s="240">
        <v>78887</v>
      </c>
      <c r="AN86" s="240">
        <v>11517637</v>
      </c>
      <c r="AO86" s="241"/>
      <c r="AP86" s="302"/>
      <c r="AQ86" s="302">
        <v>61.79</v>
      </c>
      <c r="AR86" s="541" t="s">
        <v>148</v>
      </c>
    </row>
    <row r="87" spans="1:44" ht="18" customHeight="1" x14ac:dyDescent="0.15">
      <c r="B87" s="538" t="s">
        <v>493</v>
      </c>
    </row>
    <row r="88" spans="1:44" ht="18" customHeight="1" x14ac:dyDescent="0.15">
      <c r="B88" s="539" t="s">
        <v>494</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67</v>
      </c>
      <c r="G96" s="1" t="s">
        <v>12</v>
      </c>
      <c r="H96" s="1" t="s">
        <v>14</v>
      </c>
      <c r="X96" s="3"/>
      <c r="Y96" s="106"/>
      <c r="AO96" s="3"/>
      <c r="AP96" s="106"/>
      <c r="AQ96" s="106"/>
    </row>
    <row r="97" spans="5:43" x14ac:dyDescent="0.15">
      <c r="E97" s="3" t="s">
        <v>148</v>
      </c>
      <c r="F97" s="106">
        <f>AQ98</f>
        <v>28.107857142857149</v>
      </c>
      <c r="G97" s="106">
        <f>Y98</f>
        <v>54.150000000000006</v>
      </c>
      <c r="H97" s="106" t="e">
        <f>AP98</f>
        <v>#DIV/0!</v>
      </c>
      <c r="X97" s="3"/>
      <c r="Y97" s="106" t="s">
        <v>516</v>
      </c>
      <c r="AO97" s="3"/>
      <c r="AP97" s="106" t="s">
        <v>517</v>
      </c>
      <c r="AQ97" s="106" t="s">
        <v>518</v>
      </c>
    </row>
    <row r="98" spans="5:43" x14ac:dyDescent="0.15">
      <c r="E98" s="3" t="s">
        <v>152</v>
      </c>
      <c r="F98" s="106">
        <f t="shared" ref="F98:F100" si="0">AQ99</f>
        <v>40.195714285714281</v>
      </c>
      <c r="G98" s="106">
        <f t="shared" ref="G98:G100" si="1">Y99</f>
        <v>29.287647058823527</v>
      </c>
      <c r="H98" s="106" t="e">
        <f t="shared" ref="H98:H100" si="2">AP99</f>
        <v>#DIV/0!</v>
      </c>
      <c r="X98" s="3" t="s">
        <v>148</v>
      </c>
      <c r="Y98" s="106">
        <f>AVERAGEIF($AR$6:$AR$86,"=直接行政サービス事業（直接型）",Y$6:Y$86)</f>
        <v>54.150000000000006</v>
      </c>
      <c r="AO98" s="3" t="s">
        <v>148</v>
      </c>
      <c r="AP98" s="106" t="e">
        <f>AVERAGEIF($AR$6:$AR$86,"=直接行政サービス事業（直接型）",AP$6:AP$86)</f>
        <v>#DIV/0!</v>
      </c>
      <c r="AQ98" s="106">
        <f>AVERAGEIF($AR$6:$AR$86,"=直接行政サービス事業（直接型）",AQ$6:AQ$86)</f>
        <v>28.107857142857149</v>
      </c>
    </row>
    <row r="99" spans="5:43" x14ac:dyDescent="0.15">
      <c r="E99" s="3" t="s">
        <v>153</v>
      </c>
      <c r="F99" s="106">
        <f t="shared" si="0"/>
        <v>37.738333333333337</v>
      </c>
      <c r="G99" s="106" t="e">
        <f t="shared" si="1"/>
        <v>#DIV/0!</v>
      </c>
      <c r="H99" s="106">
        <f t="shared" si="2"/>
        <v>5.046666666666666</v>
      </c>
      <c r="X99" s="3" t="s">
        <v>152</v>
      </c>
      <c r="Y99" s="106">
        <f>AVERAGEIF($AR$6:$AR$86,"=直接行政サービス事業（間接型）",Y$6:Y$86)</f>
        <v>29.287647058823527</v>
      </c>
      <c r="AO99" s="3" t="s">
        <v>152</v>
      </c>
      <c r="AP99" s="106" t="e">
        <f>AVERAGEIF($AR$6:$AR$86,"=直接行政サービス事業（間接型）",AP$6:AP$86)</f>
        <v>#DIV/0!</v>
      </c>
      <c r="AQ99" s="106">
        <f>AVERAGEIF($AR$6:$AR$86,"=直接行政サービス事業（間接型）",AQ$6:AQ$86)</f>
        <v>40.195714285714281</v>
      </c>
    </row>
    <row r="100" spans="5:43" x14ac:dyDescent="0.15">
      <c r="E100" s="3" t="s">
        <v>154</v>
      </c>
      <c r="F100" s="106">
        <f t="shared" si="0"/>
        <v>24.775714285714287</v>
      </c>
      <c r="G100" s="106">
        <f t="shared" si="1"/>
        <v>49.49</v>
      </c>
      <c r="H100" s="106">
        <f t="shared" si="2"/>
        <v>13.697142857142859</v>
      </c>
      <c r="X100" s="3" t="s">
        <v>153</v>
      </c>
      <c r="Y100" s="106" t="e">
        <f>AVERAGEIF($AR$6:$AR$86,"=資源配分事業（直接型）",Y$6:Y$86)</f>
        <v>#DIV/0!</v>
      </c>
      <c r="AO100" s="3" t="s">
        <v>153</v>
      </c>
      <c r="AP100" s="106">
        <f>AVERAGEIF($AR$6:$AR$86,"=資源配分事業（直接型）",AP$6:AP$86)</f>
        <v>5.046666666666666</v>
      </c>
      <c r="AQ100" s="106">
        <f>AVERAGEIF($AR$6:$AR$86,"=資源配分事業（直接型）",AQ$6:AQ$86)</f>
        <v>37.738333333333337</v>
      </c>
    </row>
    <row r="101" spans="5:43" x14ac:dyDescent="0.15">
      <c r="X101" s="3" t="s">
        <v>154</v>
      </c>
      <c r="Y101" s="106">
        <f>AVERAGEIF($AR$6:$AR$86,"=資源配分事業（間接型）",Y$6:Y$86)</f>
        <v>49.49</v>
      </c>
      <c r="AO101" s="3" t="s">
        <v>154</v>
      </c>
      <c r="AP101" s="106">
        <f>AVERAGEIF($AR$6:$AR$86,"=資源配分事業（間接型）",AP$6:AP$86)</f>
        <v>13.697142857142859</v>
      </c>
      <c r="AQ101" s="106">
        <f>AVERAGEIF($AR$6:$AR$86,"=資源配分事業（間接型）",AQ$6:AQ$86)</f>
        <v>24.775714285714287</v>
      </c>
    </row>
  </sheetData>
  <mergeCells count="28">
    <mergeCell ref="B3:B4"/>
    <mergeCell ref="C3:C4"/>
    <mergeCell ref="D3:D4"/>
    <mergeCell ref="E3:E4"/>
    <mergeCell ref="F3:K3"/>
    <mergeCell ref="L3:V3"/>
    <mergeCell ref="W3:W4"/>
    <mergeCell ref="X3:X4"/>
    <mergeCell ref="AJ3:AJ4"/>
    <mergeCell ref="Y3:Y4"/>
    <mergeCell ref="Z3:Z4"/>
    <mergeCell ref="AA3:AA4"/>
    <mergeCell ref="AB3:AB4"/>
    <mergeCell ref="AC3:AC4"/>
    <mergeCell ref="AD3:AD4"/>
    <mergeCell ref="AE3:AE4"/>
    <mergeCell ref="AF3:AF4"/>
    <mergeCell ref="AG3:AG4"/>
    <mergeCell ref="AH3:AH4"/>
    <mergeCell ref="AI3:AI4"/>
    <mergeCell ref="AQ3:AQ4"/>
    <mergeCell ref="AR3:AR5"/>
    <mergeCell ref="AK3:AK4"/>
    <mergeCell ref="AL3:AL4"/>
    <mergeCell ref="AM3:AM4"/>
    <mergeCell ref="AN3:AN4"/>
    <mergeCell ref="AO3:AO4"/>
    <mergeCell ref="AP3:AP4"/>
  </mergeCells>
  <phoneticPr fontId="2"/>
  <pageMargins left="0.70866141732283472" right="0.70866141732283472" top="0.74803149606299213" bottom="0.74803149606299213" header="0.31496062992125984" footer="0.31496062992125984"/>
  <pageSetup paperSize="8" scale="38" fitToWidth="0" orientation="landscape" r:id="rId1"/>
  <colBreaks count="1" manualBreakCount="1">
    <brk id="31" max="8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70" zoomScaleSheetLayoutView="70" workbookViewId="0">
      <pane xSplit="3" ySplit="5" topLeftCell="D6" activePane="bottomRight" state="frozen"/>
      <selection activeCell="C72" sqref="C72:F73"/>
      <selection pane="topRight" activeCell="C72" sqref="C72:F73"/>
      <selection pane="bottomLeft" activeCell="C72" sqref="C72:F73"/>
      <selection pane="bottomRight" activeCell="A2" sqref="A2:XFD2"/>
    </sheetView>
  </sheetViews>
  <sheetFormatPr defaultRowHeight="13.5"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15.5" customWidth="1"/>
    <col min="42" max="43" width="15.375" customWidth="1"/>
    <col min="44" max="44" width="32.375" customWidth="1"/>
  </cols>
  <sheetData>
    <row r="1" spans="1:44" x14ac:dyDescent="0.15">
      <c r="B1" t="s">
        <v>198</v>
      </c>
      <c r="E1" s="2"/>
      <c r="G1" s="2"/>
      <c r="I1" s="2"/>
      <c r="K1" s="2"/>
      <c r="M1" s="2"/>
      <c r="O1" s="2"/>
      <c r="Q1" s="2"/>
      <c r="S1" s="2"/>
      <c r="U1" s="2"/>
      <c r="W1" s="2"/>
      <c r="Y1" s="2"/>
      <c r="AA1" s="2"/>
      <c r="AC1" s="2"/>
      <c r="AE1" s="2"/>
      <c r="AG1" s="2"/>
      <c r="AI1" s="2"/>
      <c r="AK1" s="2"/>
      <c r="AM1" s="2"/>
      <c r="AO1" s="2"/>
      <c r="AQ1" s="2"/>
    </row>
    <row r="2" spans="1:44" ht="14.25" customHeight="1" x14ac:dyDescent="0.15">
      <c r="C2" s="272"/>
      <c r="D2" s="28"/>
      <c r="E2" s="28"/>
      <c r="F2" s="273" t="s">
        <v>26</v>
      </c>
      <c r="G2" s="273" t="s">
        <v>26</v>
      </c>
      <c r="H2" s="273" t="s">
        <v>26</v>
      </c>
      <c r="I2" s="273" t="s">
        <v>26</v>
      </c>
      <c r="J2" s="273" t="s">
        <v>27</v>
      </c>
      <c r="K2" s="273" t="s">
        <v>26</v>
      </c>
      <c r="L2" s="273"/>
      <c r="M2" s="273"/>
      <c r="N2" s="273"/>
      <c r="O2" s="273"/>
      <c r="P2" s="273" t="s">
        <v>26</v>
      </c>
      <c r="Q2" s="273" t="s">
        <v>26</v>
      </c>
      <c r="R2" s="273" t="s">
        <v>26</v>
      </c>
      <c r="S2" s="273" t="s">
        <v>26</v>
      </c>
      <c r="T2" s="273" t="s">
        <v>26</v>
      </c>
      <c r="U2" s="273" t="s">
        <v>27</v>
      </c>
      <c r="V2" s="273" t="s">
        <v>26</v>
      </c>
      <c r="W2" s="273" t="s">
        <v>26</v>
      </c>
      <c r="X2" s="273" t="s">
        <v>26</v>
      </c>
      <c r="Y2" s="273" t="s">
        <v>301</v>
      </c>
      <c r="Z2" s="28"/>
      <c r="AA2" s="28"/>
      <c r="AB2" s="28"/>
      <c r="AC2" s="28"/>
      <c r="AD2" s="28"/>
      <c r="AE2" s="28"/>
      <c r="AF2" s="28"/>
      <c r="AG2" s="28"/>
      <c r="AH2" s="273" t="s">
        <v>26</v>
      </c>
      <c r="AI2" s="273" t="s">
        <v>26</v>
      </c>
      <c r="AJ2" s="273" t="s">
        <v>26</v>
      </c>
      <c r="AK2" s="273" t="s">
        <v>26</v>
      </c>
      <c r="AL2" s="273" t="s">
        <v>26</v>
      </c>
      <c r="AM2" s="273" t="s">
        <v>26</v>
      </c>
      <c r="AN2" s="273" t="s">
        <v>26</v>
      </c>
      <c r="AO2" s="273" t="s">
        <v>26</v>
      </c>
      <c r="AP2" s="273" t="s">
        <v>301</v>
      </c>
      <c r="AQ2" s="274" t="s">
        <v>301</v>
      </c>
    </row>
    <row r="3" spans="1:44" ht="27.75" customHeight="1" thickBot="1" x14ac:dyDescent="0.2">
      <c r="B3" s="667" t="s">
        <v>28</v>
      </c>
      <c r="C3" s="668" t="s">
        <v>29</v>
      </c>
      <c r="D3" s="667" t="s">
        <v>30</v>
      </c>
      <c r="E3" s="668" t="s">
        <v>31</v>
      </c>
      <c r="F3" s="670" t="s">
        <v>303</v>
      </c>
      <c r="G3" s="671"/>
      <c r="H3" s="671"/>
      <c r="I3" s="671"/>
      <c r="J3" s="626"/>
      <c r="K3" s="672"/>
      <c r="L3" s="663" t="s">
        <v>304</v>
      </c>
      <c r="M3" s="664"/>
      <c r="N3" s="664"/>
      <c r="O3" s="664"/>
      <c r="P3" s="664"/>
      <c r="Q3" s="664"/>
      <c r="R3" s="664"/>
      <c r="S3" s="664"/>
      <c r="T3" s="664"/>
      <c r="U3" s="665"/>
      <c r="V3" s="666"/>
      <c r="W3" s="673" t="s">
        <v>10</v>
      </c>
      <c r="X3" s="668" t="s">
        <v>11</v>
      </c>
      <c r="Y3" s="673" t="s">
        <v>12</v>
      </c>
      <c r="Z3" s="668" t="s">
        <v>305</v>
      </c>
      <c r="AA3" s="668" t="s">
        <v>131</v>
      </c>
      <c r="AB3" s="668" t="s">
        <v>306</v>
      </c>
      <c r="AC3" s="668" t="s">
        <v>132</v>
      </c>
      <c r="AD3" s="668" t="s">
        <v>307</v>
      </c>
      <c r="AE3" s="668" t="s">
        <v>134</v>
      </c>
      <c r="AF3" s="668" t="s">
        <v>308</v>
      </c>
      <c r="AG3" s="668" t="s">
        <v>136</v>
      </c>
      <c r="AH3" s="668" t="s">
        <v>137</v>
      </c>
      <c r="AI3" s="668" t="s">
        <v>138</v>
      </c>
      <c r="AJ3" s="668" t="s">
        <v>139</v>
      </c>
      <c r="AK3" s="668" t="s">
        <v>140</v>
      </c>
      <c r="AL3" s="668" t="s">
        <v>32</v>
      </c>
      <c r="AM3" s="668" t="s">
        <v>33</v>
      </c>
      <c r="AN3" s="668" t="s">
        <v>34</v>
      </c>
      <c r="AO3" s="673" t="s">
        <v>614</v>
      </c>
      <c r="AP3" s="668" t="s">
        <v>14</v>
      </c>
      <c r="AQ3" s="675" t="s">
        <v>67</v>
      </c>
      <c r="AR3" s="676"/>
    </row>
    <row r="4" spans="1:44" ht="74.25" customHeight="1" thickTop="1" x14ac:dyDescent="0.15">
      <c r="B4" s="637"/>
      <c r="C4" s="669"/>
      <c r="D4" s="637"/>
      <c r="E4" s="669"/>
      <c r="F4" s="109" t="s">
        <v>2</v>
      </c>
      <c r="G4" s="549" t="s">
        <v>3</v>
      </c>
      <c r="H4" s="549" t="s">
        <v>309</v>
      </c>
      <c r="I4" s="275" t="s">
        <v>5</v>
      </c>
      <c r="J4" s="276" t="s">
        <v>1</v>
      </c>
      <c r="K4" s="277" t="s">
        <v>310</v>
      </c>
      <c r="L4" s="549" t="s">
        <v>311</v>
      </c>
      <c r="M4" s="549" t="s">
        <v>312</v>
      </c>
      <c r="N4" s="549" t="s">
        <v>83</v>
      </c>
      <c r="O4" s="549" t="s">
        <v>84</v>
      </c>
      <c r="P4" s="550" t="s">
        <v>313</v>
      </c>
      <c r="Q4" s="550" t="s">
        <v>7</v>
      </c>
      <c r="R4" s="550" t="s">
        <v>314</v>
      </c>
      <c r="S4" s="549" t="s">
        <v>9</v>
      </c>
      <c r="T4" s="540" t="s">
        <v>498</v>
      </c>
      <c r="U4" s="276" t="s">
        <v>1</v>
      </c>
      <c r="V4" s="277" t="s">
        <v>315</v>
      </c>
      <c r="W4" s="674"/>
      <c r="X4" s="669"/>
      <c r="Y4" s="674"/>
      <c r="Z4" s="669"/>
      <c r="AA4" s="669"/>
      <c r="AB4" s="669"/>
      <c r="AC4" s="669"/>
      <c r="AD4" s="669"/>
      <c r="AE4" s="669"/>
      <c r="AF4" s="669"/>
      <c r="AG4" s="669"/>
      <c r="AH4" s="669"/>
      <c r="AI4" s="669"/>
      <c r="AJ4" s="669"/>
      <c r="AK4" s="669"/>
      <c r="AL4" s="669"/>
      <c r="AM4" s="669"/>
      <c r="AN4" s="669"/>
      <c r="AO4" s="674"/>
      <c r="AP4" s="669"/>
      <c r="AQ4" s="673"/>
      <c r="AR4" s="676"/>
    </row>
    <row r="5" spans="1:44" ht="45.75" customHeight="1" x14ac:dyDescent="0.15">
      <c r="B5" s="548"/>
      <c r="C5" s="112">
        <v>1</v>
      </c>
      <c r="D5" s="548">
        <v>2</v>
      </c>
      <c r="E5" s="112">
        <v>3</v>
      </c>
      <c r="F5" s="112">
        <v>4</v>
      </c>
      <c r="G5" s="548">
        <v>5</v>
      </c>
      <c r="H5" s="112">
        <v>6</v>
      </c>
      <c r="I5" s="278">
        <v>7</v>
      </c>
      <c r="J5" s="279">
        <v>8</v>
      </c>
      <c r="K5" s="198" t="s">
        <v>327</v>
      </c>
      <c r="L5" s="112">
        <v>10</v>
      </c>
      <c r="M5" s="548">
        <v>11</v>
      </c>
      <c r="N5" s="112">
        <v>12</v>
      </c>
      <c r="O5" s="112">
        <v>13</v>
      </c>
      <c r="P5" s="548" t="s">
        <v>328</v>
      </c>
      <c r="Q5" s="112">
        <v>15</v>
      </c>
      <c r="R5" s="112" t="s">
        <v>318</v>
      </c>
      <c r="S5" s="548">
        <v>17</v>
      </c>
      <c r="T5" s="278">
        <v>18</v>
      </c>
      <c r="U5" s="280">
        <v>19</v>
      </c>
      <c r="V5" s="281" t="s">
        <v>319</v>
      </c>
      <c r="W5" s="112" t="s">
        <v>320</v>
      </c>
      <c r="X5" s="112">
        <v>22</v>
      </c>
      <c r="Y5" s="548" t="s">
        <v>321</v>
      </c>
      <c r="Z5" s="112">
        <v>24</v>
      </c>
      <c r="AA5" s="112">
        <v>25</v>
      </c>
      <c r="AB5" s="548">
        <v>26</v>
      </c>
      <c r="AC5" s="112">
        <v>27</v>
      </c>
      <c r="AD5" s="112">
        <v>28</v>
      </c>
      <c r="AE5" s="548">
        <v>29</v>
      </c>
      <c r="AF5" s="112">
        <v>30</v>
      </c>
      <c r="AG5" s="112">
        <v>31</v>
      </c>
      <c r="AH5" s="548" t="s">
        <v>322</v>
      </c>
      <c r="AI5" s="112" t="s">
        <v>323</v>
      </c>
      <c r="AJ5" s="112" t="s">
        <v>324</v>
      </c>
      <c r="AK5" s="548" t="s">
        <v>325</v>
      </c>
      <c r="AL5" s="112">
        <v>36</v>
      </c>
      <c r="AM5" s="112">
        <v>37</v>
      </c>
      <c r="AN5" s="548">
        <v>38</v>
      </c>
      <c r="AO5" s="112">
        <v>39</v>
      </c>
      <c r="AP5" s="112" t="s">
        <v>326</v>
      </c>
      <c r="AQ5" s="315" t="s">
        <v>378</v>
      </c>
      <c r="AR5" s="676"/>
    </row>
    <row r="6" spans="1:44" ht="22.5" customHeight="1" x14ac:dyDescent="0.15">
      <c r="A6">
        <v>1</v>
      </c>
      <c r="B6" s="323" t="s">
        <v>37</v>
      </c>
      <c r="C6" s="324" t="s">
        <v>190</v>
      </c>
      <c r="D6" s="325" t="s">
        <v>35</v>
      </c>
      <c r="E6" s="326" t="s">
        <v>36</v>
      </c>
      <c r="F6" s="240">
        <v>94161433</v>
      </c>
      <c r="G6" s="240">
        <v>19568165</v>
      </c>
      <c r="H6" s="240">
        <v>12337939</v>
      </c>
      <c r="I6" s="283">
        <v>1393195144</v>
      </c>
      <c r="J6" s="285">
        <v>14.1</v>
      </c>
      <c r="K6" s="284">
        <v>1519262683</v>
      </c>
      <c r="L6" s="240"/>
      <c r="M6" s="240"/>
      <c r="N6" s="240"/>
      <c r="O6" s="240"/>
      <c r="P6" s="240"/>
      <c r="Q6" s="240"/>
      <c r="R6" s="240"/>
      <c r="S6" s="240"/>
      <c r="T6" s="283"/>
      <c r="U6" s="288"/>
      <c r="V6" s="284"/>
      <c r="W6" s="240">
        <v>1519262683</v>
      </c>
      <c r="X6" s="240"/>
      <c r="Y6" s="290"/>
      <c r="Z6" s="291" t="s">
        <v>495</v>
      </c>
      <c r="AA6" s="240">
        <v>837</v>
      </c>
      <c r="AB6" s="4"/>
      <c r="AC6" s="240"/>
      <c r="AD6" s="4"/>
      <c r="AE6" s="240"/>
      <c r="AF6" s="4"/>
      <c r="AG6" s="240"/>
      <c r="AH6" s="240">
        <v>1815128</v>
      </c>
      <c r="AI6" s="240" t="s">
        <v>440</v>
      </c>
      <c r="AJ6" s="240" t="s">
        <v>440</v>
      </c>
      <c r="AK6" s="240" t="s">
        <v>440</v>
      </c>
      <c r="AL6" s="240">
        <v>11</v>
      </c>
      <c r="AM6" s="240">
        <v>4162363</v>
      </c>
      <c r="AN6" s="240">
        <v>107444319</v>
      </c>
      <c r="AO6" s="241"/>
      <c r="AP6" s="302"/>
      <c r="AQ6" s="302">
        <v>6.2</v>
      </c>
      <c r="AR6" s="332" t="s">
        <v>148</v>
      </c>
    </row>
    <row r="7" spans="1:44" ht="22.5" customHeight="1" x14ac:dyDescent="0.15">
      <c r="A7">
        <v>2</v>
      </c>
      <c r="B7" s="323" t="s">
        <v>37</v>
      </c>
      <c r="C7" s="324" t="s">
        <v>191</v>
      </c>
      <c r="D7" s="325" t="s">
        <v>35</v>
      </c>
      <c r="E7" s="326" t="s">
        <v>36</v>
      </c>
      <c r="F7" s="240">
        <v>67924089</v>
      </c>
      <c r="G7" s="240">
        <v>11106213</v>
      </c>
      <c r="H7" s="240">
        <v>12361207</v>
      </c>
      <c r="I7" s="283">
        <v>853155008</v>
      </c>
      <c r="J7" s="285">
        <v>10.199999999999999</v>
      </c>
      <c r="K7" s="284">
        <v>944546517</v>
      </c>
      <c r="L7" s="240"/>
      <c r="M7" s="240"/>
      <c r="N7" s="240"/>
      <c r="O7" s="240"/>
      <c r="P7" s="240"/>
      <c r="Q7" s="240"/>
      <c r="R7" s="240"/>
      <c r="S7" s="240"/>
      <c r="T7" s="283"/>
      <c r="U7" s="288"/>
      <c r="V7" s="284"/>
      <c r="W7" s="240">
        <v>944546517</v>
      </c>
      <c r="X7" s="240">
        <v>495510400</v>
      </c>
      <c r="Y7" s="290">
        <v>52.46</v>
      </c>
      <c r="Z7" s="5" t="s">
        <v>229</v>
      </c>
      <c r="AA7" s="240">
        <v>583238</v>
      </c>
      <c r="AB7" s="4"/>
      <c r="AC7" s="240"/>
      <c r="AD7" s="4"/>
      <c r="AE7" s="240"/>
      <c r="AF7" s="4"/>
      <c r="AG7" s="240"/>
      <c r="AH7" s="240">
        <v>1619</v>
      </c>
      <c r="AI7" s="240"/>
      <c r="AJ7" s="240"/>
      <c r="AK7" s="240"/>
      <c r="AL7" s="240">
        <v>7</v>
      </c>
      <c r="AM7" s="240">
        <v>2587798</v>
      </c>
      <c r="AN7" s="240">
        <v>92602599</v>
      </c>
      <c r="AO7" s="240"/>
      <c r="AP7" s="302" t="s">
        <v>440</v>
      </c>
      <c r="AQ7" s="302">
        <v>7.19</v>
      </c>
      <c r="AR7" s="332" t="s">
        <v>148</v>
      </c>
    </row>
    <row r="8" spans="1:44" ht="22.5" customHeight="1" x14ac:dyDescent="0.15">
      <c r="A8">
        <v>3</v>
      </c>
      <c r="B8" s="323" t="s">
        <v>37</v>
      </c>
      <c r="C8" s="324" t="s">
        <v>189</v>
      </c>
      <c r="D8" s="325" t="s">
        <v>35</v>
      </c>
      <c r="E8" s="326" t="s">
        <v>36</v>
      </c>
      <c r="F8" s="240">
        <v>22641363</v>
      </c>
      <c r="G8" s="240">
        <v>12115868</v>
      </c>
      <c r="H8" s="240">
        <v>13484953</v>
      </c>
      <c r="I8" s="283">
        <v>237793150</v>
      </c>
      <c r="J8" s="285">
        <v>3.4</v>
      </c>
      <c r="K8" s="284">
        <v>286035335</v>
      </c>
      <c r="L8" s="240"/>
      <c r="M8" s="240"/>
      <c r="N8" s="240"/>
      <c r="O8" s="240"/>
      <c r="P8" s="240"/>
      <c r="Q8" s="240"/>
      <c r="R8" s="240"/>
      <c r="S8" s="240"/>
      <c r="T8" s="283"/>
      <c r="U8" s="288"/>
      <c r="V8" s="284"/>
      <c r="W8" s="240">
        <v>286035335</v>
      </c>
      <c r="X8" s="240">
        <v>151424200</v>
      </c>
      <c r="Y8" s="290">
        <v>52.94</v>
      </c>
      <c r="Z8" s="494" t="s">
        <v>229</v>
      </c>
      <c r="AA8" s="240">
        <v>128857</v>
      </c>
      <c r="AB8" s="4"/>
      <c r="AC8" s="240"/>
      <c r="AD8" s="4"/>
      <c r="AE8" s="240"/>
      <c r="AF8" s="4"/>
      <c r="AG8" s="240"/>
      <c r="AH8" s="240">
        <v>2219</v>
      </c>
      <c r="AI8" s="240"/>
      <c r="AJ8" s="240"/>
      <c r="AK8" s="240"/>
      <c r="AL8" s="240">
        <v>2</v>
      </c>
      <c r="AM8" s="240">
        <v>783658</v>
      </c>
      <c r="AN8" s="240">
        <v>84128039</v>
      </c>
      <c r="AO8" s="241"/>
      <c r="AP8" s="302" t="s">
        <v>440</v>
      </c>
      <c r="AQ8" s="302">
        <v>7.92</v>
      </c>
      <c r="AR8" s="332" t="s">
        <v>148</v>
      </c>
    </row>
    <row r="9" spans="1:44" ht="22.5" customHeight="1" x14ac:dyDescent="0.15">
      <c r="A9">
        <v>4</v>
      </c>
      <c r="B9" s="323" t="s">
        <v>37</v>
      </c>
      <c r="C9" s="324" t="s">
        <v>223</v>
      </c>
      <c r="D9" s="325" t="s">
        <v>35</v>
      </c>
      <c r="E9" s="326" t="s">
        <v>36</v>
      </c>
      <c r="F9" s="240">
        <v>45282726</v>
      </c>
      <c r="G9" s="240">
        <v>11146628</v>
      </c>
      <c r="H9" s="240"/>
      <c r="I9" s="283">
        <v>21015253750</v>
      </c>
      <c r="J9" s="285">
        <v>6.8</v>
      </c>
      <c r="K9" s="284">
        <v>21071683104</v>
      </c>
      <c r="L9" s="240"/>
      <c r="M9" s="240"/>
      <c r="N9" s="240"/>
      <c r="O9" s="240"/>
      <c r="P9" s="240"/>
      <c r="Q9" s="240"/>
      <c r="R9" s="240"/>
      <c r="S9" s="240"/>
      <c r="T9" s="283"/>
      <c r="U9" s="288"/>
      <c r="V9" s="284"/>
      <c r="W9" s="240">
        <v>21071683104</v>
      </c>
      <c r="X9" s="240"/>
      <c r="Y9" s="290" t="s">
        <v>440</v>
      </c>
      <c r="Z9" s="5" t="s">
        <v>230</v>
      </c>
      <c r="AA9" s="240">
        <v>4</v>
      </c>
      <c r="AB9" s="4"/>
      <c r="AC9" s="240"/>
      <c r="AD9" s="4"/>
      <c r="AE9" s="240"/>
      <c r="AF9" s="4"/>
      <c r="AG9" s="240"/>
      <c r="AH9" s="240">
        <v>5267920776</v>
      </c>
      <c r="AI9" s="240"/>
      <c r="AJ9" s="240"/>
      <c r="AK9" s="240"/>
      <c r="AL9" s="240">
        <v>166</v>
      </c>
      <c r="AM9" s="240">
        <v>57730638</v>
      </c>
      <c r="AN9" s="240">
        <v>3098776927</v>
      </c>
      <c r="AO9" s="241"/>
      <c r="AP9" s="302" t="s">
        <v>440</v>
      </c>
      <c r="AQ9" s="302">
        <v>0.21</v>
      </c>
      <c r="AR9" s="332" t="s">
        <v>148</v>
      </c>
    </row>
    <row r="10" spans="1:44" ht="22.5" customHeight="1" x14ac:dyDescent="0.15">
      <c r="A10">
        <v>5</v>
      </c>
      <c r="B10" s="328" t="s">
        <v>37</v>
      </c>
      <c r="C10" s="327" t="s">
        <v>377</v>
      </c>
      <c r="D10" s="328" t="s">
        <v>338</v>
      </c>
      <c r="E10" s="328" t="s">
        <v>339</v>
      </c>
      <c r="F10" s="240">
        <v>68590011</v>
      </c>
      <c r="G10" s="240">
        <v>163024227</v>
      </c>
      <c r="H10" s="240"/>
      <c r="I10" s="283">
        <v>157843958</v>
      </c>
      <c r="J10" s="285">
        <v>10.3</v>
      </c>
      <c r="K10" s="284">
        <v>389458196</v>
      </c>
      <c r="L10" s="240"/>
      <c r="M10" s="240"/>
      <c r="N10" s="240"/>
      <c r="O10" s="240"/>
      <c r="P10" s="240"/>
      <c r="Q10" s="240"/>
      <c r="R10" s="240"/>
      <c r="S10" s="240"/>
      <c r="T10" s="283"/>
      <c r="U10" s="288"/>
      <c r="V10" s="284"/>
      <c r="W10" s="240">
        <v>389458196</v>
      </c>
      <c r="X10" s="240">
        <v>334737000</v>
      </c>
      <c r="Y10" s="290">
        <v>85.95</v>
      </c>
      <c r="Z10" s="5" t="s">
        <v>359</v>
      </c>
      <c r="AA10" s="240">
        <v>17166</v>
      </c>
      <c r="AB10" s="4"/>
      <c r="AC10" s="240"/>
      <c r="AD10" s="4"/>
      <c r="AE10" s="240"/>
      <c r="AF10" s="4"/>
      <c r="AG10" s="240"/>
      <c r="AH10" s="240">
        <v>22687</v>
      </c>
      <c r="AI10" s="240"/>
      <c r="AJ10" s="240"/>
      <c r="AK10" s="240" t="s">
        <v>440</v>
      </c>
      <c r="AL10" s="240">
        <v>3</v>
      </c>
      <c r="AM10" s="240">
        <v>1067008</v>
      </c>
      <c r="AN10" s="240">
        <v>37811475</v>
      </c>
      <c r="AO10" s="241"/>
      <c r="AP10" s="302"/>
      <c r="AQ10" s="302">
        <v>17.61</v>
      </c>
      <c r="AR10" s="332" t="s">
        <v>148</v>
      </c>
    </row>
    <row r="11" spans="1:44" ht="22.5" customHeight="1" x14ac:dyDescent="0.15">
      <c r="A11">
        <v>6</v>
      </c>
      <c r="B11" s="328" t="s">
        <v>37</v>
      </c>
      <c r="C11" s="327" t="s">
        <v>461</v>
      </c>
      <c r="D11" s="328" t="s">
        <v>338</v>
      </c>
      <c r="E11" s="328" t="s">
        <v>36</v>
      </c>
      <c r="F11" s="240">
        <v>97224677</v>
      </c>
      <c r="G11" s="240"/>
      <c r="H11" s="240"/>
      <c r="I11" s="283">
        <v>6191166723</v>
      </c>
      <c r="J11" s="285">
        <v>14.6</v>
      </c>
      <c r="K11" s="284">
        <v>6288391400</v>
      </c>
      <c r="L11" s="240"/>
      <c r="M11" s="240"/>
      <c r="N11" s="240"/>
      <c r="O11" s="240"/>
      <c r="P11" s="240"/>
      <c r="Q11" s="240"/>
      <c r="R11" s="240"/>
      <c r="S11" s="240"/>
      <c r="T11" s="283"/>
      <c r="U11" s="288"/>
      <c r="V11" s="284"/>
      <c r="W11" s="240">
        <v>6288391400</v>
      </c>
      <c r="X11" s="240"/>
      <c r="Y11" s="290"/>
      <c r="Z11" s="294" t="s">
        <v>384</v>
      </c>
      <c r="AA11" s="240">
        <v>1344916</v>
      </c>
      <c r="AB11" s="4"/>
      <c r="AC11" s="240"/>
      <c r="AD11" s="4"/>
      <c r="AE11" s="240"/>
      <c r="AF11" s="4"/>
      <c r="AG11" s="240"/>
      <c r="AH11" s="240">
        <v>4675</v>
      </c>
      <c r="AI11" s="240"/>
      <c r="AJ11" s="240" t="s">
        <v>440</v>
      </c>
      <c r="AK11" s="240" t="s">
        <v>440</v>
      </c>
      <c r="AL11" s="240">
        <v>49</v>
      </c>
      <c r="AM11" s="240">
        <v>17228469</v>
      </c>
      <c r="AN11" s="240">
        <v>430711739</v>
      </c>
      <c r="AO11" s="240"/>
      <c r="AP11" s="302"/>
      <c r="AQ11" s="302">
        <v>1.55</v>
      </c>
      <c r="AR11" s="350" t="s">
        <v>148</v>
      </c>
    </row>
    <row r="12" spans="1:44" ht="22.5" customHeight="1" x14ac:dyDescent="0.15">
      <c r="A12">
        <v>7</v>
      </c>
      <c r="B12" s="323" t="s">
        <v>37</v>
      </c>
      <c r="C12" s="324" t="s">
        <v>187</v>
      </c>
      <c r="D12" s="325" t="s">
        <v>35</v>
      </c>
      <c r="E12" s="326" t="s">
        <v>38</v>
      </c>
      <c r="F12" s="240">
        <v>31298354</v>
      </c>
      <c r="G12" s="240">
        <v>22742574</v>
      </c>
      <c r="H12" s="240">
        <v>4101012</v>
      </c>
      <c r="I12" s="283"/>
      <c r="J12" s="285">
        <v>4.7</v>
      </c>
      <c r="K12" s="284">
        <v>58141941</v>
      </c>
      <c r="L12" s="240">
        <v>653224287</v>
      </c>
      <c r="M12" s="240">
        <v>1040381912</v>
      </c>
      <c r="N12" s="240">
        <v>244239215</v>
      </c>
      <c r="O12" s="240">
        <v>144818478</v>
      </c>
      <c r="P12" s="240">
        <v>897463502</v>
      </c>
      <c r="Q12" s="240">
        <v>2234990</v>
      </c>
      <c r="R12" s="240">
        <v>1185200390</v>
      </c>
      <c r="S12" s="240">
        <v>138124223</v>
      </c>
      <c r="T12" s="283"/>
      <c r="U12" s="288">
        <v>188</v>
      </c>
      <c r="V12" s="284">
        <v>2223023105</v>
      </c>
      <c r="W12" s="240">
        <v>2281165046</v>
      </c>
      <c r="X12" s="240">
        <v>30707996</v>
      </c>
      <c r="Y12" s="290">
        <v>1.35</v>
      </c>
      <c r="Z12" s="293" t="s">
        <v>231</v>
      </c>
      <c r="AA12" s="240">
        <v>278650</v>
      </c>
      <c r="AB12" s="4"/>
      <c r="AC12" s="240"/>
      <c r="AD12" s="4"/>
      <c r="AE12" s="240"/>
      <c r="AF12" s="4"/>
      <c r="AG12" s="240"/>
      <c r="AH12" s="240">
        <v>8186</v>
      </c>
      <c r="AI12" s="240"/>
      <c r="AJ12" s="240"/>
      <c r="AK12" s="240"/>
      <c r="AL12" s="240">
        <v>18</v>
      </c>
      <c r="AM12" s="240">
        <v>6249767</v>
      </c>
      <c r="AN12" s="240">
        <v>11837908</v>
      </c>
      <c r="AO12" s="241"/>
      <c r="AP12" s="302" t="s">
        <v>440</v>
      </c>
      <c r="AQ12" s="302">
        <v>40.81</v>
      </c>
      <c r="AR12" s="332" t="s">
        <v>149</v>
      </c>
    </row>
    <row r="13" spans="1:44" ht="22.5" customHeight="1" x14ac:dyDescent="0.15">
      <c r="A13">
        <v>8</v>
      </c>
      <c r="B13" s="323" t="s">
        <v>37</v>
      </c>
      <c r="C13" s="324" t="s">
        <v>188</v>
      </c>
      <c r="D13" s="325" t="s">
        <v>35</v>
      </c>
      <c r="E13" s="326" t="s">
        <v>38</v>
      </c>
      <c r="F13" s="240">
        <v>2663689</v>
      </c>
      <c r="G13" s="240">
        <v>1194340</v>
      </c>
      <c r="H13" s="240"/>
      <c r="I13" s="283"/>
      <c r="J13" s="285">
        <v>0.4</v>
      </c>
      <c r="K13" s="284">
        <v>3858029</v>
      </c>
      <c r="L13" s="240">
        <v>354174438</v>
      </c>
      <c r="M13" s="240">
        <v>95309857</v>
      </c>
      <c r="N13" s="240">
        <v>40138267</v>
      </c>
      <c r="O13" s="240">
        <v>30365799</v>
      </c>
      <c r="P13" s="240">
        <v>394312705</v>
      </c>
      <c r="Q13" s="240">
        <v>-781393</v>
      </c>
      <c r="R13" s="240">
        <v>125675656</v>
      </c>
      <c r="S13" s="240">
        <v>7201</v>
      </c>
      <c r="T13" s="283"/>
      <c r="U13" s="288">
        <v>19</v>
      </c>
      <c r="V13" s="284">
        <v>519214169</v>
      </c>
      <c r="W13" s="240">
        <v>523072199</v>
      </c>
      <c r="X13" s="240"/>
      <c r="Y13" s="290" t="s">
        <v>440</v>
      </c>
      <c r="Z13" s="5" t="s">
        <v>232</v>
      </c>
      <c r="AA13" s="240">
        <v>24644</v>
      </c>
      <c r="AB13" s="4"/>
      <c r="AC13" s="240"/>
      <c r="AD13" s="4"/>
      <c r="AE13" s="240"/>
      <c r="AF13" s="4"/>
      <c r="AG13" s="240"/>
      <c r="AH13" s="240">
        <v>21225</v>
      </c>
      <c r="AI13" s="240"/>
      <c r="AJ13" s="240"/>
      <c r="AK13" s="240"/>
      <c r="AL13" s="240">
        <v>4</v>
      </c>
      <c r="AM13" s="240">
        <v>1433074</v>
      </c>
      <c r="AN13" s="240">
        <v>26962484</v>
      </c>
      <c r="AO13" s="241"/>
      <c r="AP13" s="302" t="s">
        <v>440</v>
      </c>
      <c r="AQ13" s="302">
        <v>75.739999999999995</v>
      </c>
      <c r="AR13" s="332" t="s">
        <v>149</v>
      </c>
    </row>
    <row r="14" spans="1:44" ht="22.5" customHeight="1" x14ac:dyDescent="0.15">
      <c r="A14">
        <v>9</v>
      </c>
      <c r="B14" s="323" t="s">
        <v>37</v>
      </c>
      <c r="C14" s="324" t="s">
        <v>96</v>
      </c>
      <c r="D14" s="325" t="s">
        <v>87</v>
      </c>
      <c r="E14" s="326" t="s">
        <v>36</v>
      </c>
      <c r="F14" s="240">
        <v>39955346</v>
      </c>
      <c r="G14" s="240">
        <v>1688414</v>
      </c>
      <c r="H14" s="240">
        <v>9432766</v>
      </c>
      <c r="I14" s="283">
        <v>83994406</v>
      </c>
      <c r="J14" s="285">
        <v>6</v>
      </c>
      <c r="K14" s="284">
        <v>135070933</v>
      </c>
      <c r="L14" s="240"/>
      <c r="M14" s="240"/>
      <c r="N14" s="240"/>
      <c r="O14" s="240"/>
      <c r="P14" s="240"/>
      <c r="Q14" s="240"/>
      <c r="R14" s="240"/>
      <c r="S14" s="240"/>
      <c r="T14" s="283"/>
      <c r="U14" s="288"/>
      <c r="V14" s="284"/>
      <c r="W14" s="240">
        <v>135070933</v>
      </c>
      <c r="X14" s="240"/>
      <c r="Y14" s="290" t="s">
        <v>440</v>
      </c>
      <c r="Z14" s="501" t="s">
        <v>233</v>
      </c>
      <c r="AA14" s="240">
        <v>432</v>
      </c>
      <c r="AB14" s="4"/>
      <c r="AC14" s="240"/>
      <c r="AD14" s="4"/>
      <c r="AE14" s="240"/>
      <c r="AF14" s="4"/>
      <c r="AG14" s="240"/>
      <c r="AH14" s="240">
        <v>312664</v>
      </c>
      <c r="AI14" s="240"/>
      <c r="AJ14" s="240"/>
      <c r="AK14" s="240"/>
      <c r="AL14" s="240">
        <v>1</v>
      </c>
      <c r="AM14" s="240">
        <v>370057</v>
      </c>
      <c r="AN14" s="240">
        <v>22511822</v>
      </c>
      <c r="AO14" s="240">
        <v>1023236598</v>
      </c>
      <c r="AP14" s="302">
        <v>13.2</v>
      </c>
      <c r="AQ14" s="302">
        <v>29.58</v>
      </c>
      <c r="AR14" s="332" t="s">
        <v>150</v>
      </c>
    </row>
    <row r="15" spans="1:44" ht="22.5" customHeight="1" x14ac:dyDescent="0.15">
      <c r="A15">
        <v>10</v>
      </c>
      <c r="B15" s="323" t="s">
        <v>86</v>
      </c>
      <c r="C15" s="324" t="s">
        <v>381</v>
      </c>
      <c r="D15" s="325" t="s">
        <v>35</v>
      </c>
      <c r="E15" s="326" t="s">
        <v>36</v>
      </c>
      <c r="F15" s="240">
        <v>26636897</v>
      </c>
      <c r="G15" s="240">
        <v>53555549</v>
      </c>
      <c r="H15" s="240"/>
      <c r="I15" s="283">
        <v>2461462330</v>
      </c>
      <c r="J15" s="285">
        <v>4</v>
      </c>
      <c r="K15" s="284">
        <v>2541654777</v>
      </c>
      <c r="L15" s="240"/>
      <c r="M15" s="240"/>
      <c r="N15" s="240"/>
      <c r="O15" s="240"/>
      <c r="P15" s="240"/>
      <c r="Q15" s="240"/>
      <c r="R15" s="240"/>
      <c r="S15" s="240"/>
      <c r="T15" s="283"/>
      <c r="U15" s="295"/>
      <c r="V15" s="284"/>
      <c r="W15" s="240">
        <v>2541654777</v>
      </c>
      <c r="X15" s="240"/>
      <c r="Y15" s="290"/>
      <c r="Z15" s="494" t="s">
        <v>382</v>
      </c>
      <c r="AA15" s="240">
        <v>365</v>
      </c>
      <c r="AB15" s="4"/>
      <c r="AC15" s="240"/>
      <c r="AD15" s="4"/>
      <c r="AE15" s="240"/>
      <c r="AF15" s="4"/>
      <c r="AG15" s="240"/>
      <c r="AH15" s="240">
        <v>6963437</v>
      </c>
      <c r="AI15" s="240"/>
      <c r="AJ15" s="240"/>
      <c r="AK15" s="240" t="s">
        <v>440</v>
      </c>
      <c r="AL15" s="240">
        <v>20</v>
      </c>
      <c r="AM15" s="240">
        <v>6963437</v>
      </c>
      <c r="AN15" s="240">
        <v>635413694</v>
      </c>
      <c r="AO15" s="241"/>
      <c r="AP15" s="302"/>
      <c r="AQ15" s="302">
        <v>1.05</v>
      </c>
      <c r="AR15" s="332" t="s">
        <v>148</v>
      </c>
    </row>
    <row r="16" spans="1:44" ht="22.5" customHeight="1" x14ac:dyDescent="0.15">
      <c r="A16">
        <v>11</v>
      </c>
      <c r="B16" s="323" t="s">
        <v>88</v>
      </c>
      <c r="C16" s="324" t="s">
        <v>89</v>
      </c>
      <c r="D16" s="325" t="s">
        <v>35</v>
      </c>
      <c r="E16" s="326" t="s">
        <v>36</v>
      </c>
      <c r="F16" s="240">
        <v>17313983</v>
      </c>
      <c r="G16" s="240">
        <v>14032541</v>
      </c>
      <c r="H16" s="240">
        <v>1934524</v>
      </c>
      <c r="I16" s="283">
        <v>115308318</v>
      </c>
      <c r="J16" s="285">
        <v>2.6</v>
      </c>
      <c r="K16" s="284">
        <v>148589367</v>
      </c>
      <c r="L16" s="240"/>
      <c r="M16" s="240"/>
      <c r="N16" s="240"/>
      <c r="O16" s="240"/>
      <c r="P16" s="240"/>
      <c r="Q16" s="240"/>
      <c r="R16" s="240"/>
      <c r="S16" s="240"/>
      <c r="T16" s="283"/>
      <c r="U16" s="295"/>
      <c r="V16" s="284"/>
      <c r="W16" s="240">
        <v>148589367</v>
      </c>
      <c r="X16" s="240"/>
      <c r="Y16" s="290"/>
      <c r="Z16" s="293" t="s">
        <v>333</v>
      </c>
      <c r="AA16" s="240">
        <v>9792</v>
      </c>
      <c r="AB16" s="4" t="s">
        <v>334</v>
      </c>
      <c r="AC16" s="240">
        <v>13955</v>
      </c>
      <c r="AD16" s="4"/>
      <c r="AE16" s="240"/>
      <c r="AF16" s="4"/>
      <c r="AG16" s="240"/>
      <c r="AH16" s="240">
        <v>15174</v>
      </c>
      <c r="AI16" s="240">
        <v>10647</v>
      </c>
      <c r="AJ16" s="240" t="s">
        <v>440</v>
      </c>
      <c r="AK16" s="240" t="s">
        <v>440</v>
      </c>
      <c r="AL16" s="240">
        <v>1</v>
      </c>
      <c r="AM16" s="240">
        <v>407094</v>
      </c>
      <c r="AN16" s="240">
        <v>57149756</v>
      </c>
      <c r="AO16" s="241"/>
      <c r="AP16" s="302"/>
      <c r="AQ16" s="302">
        <v>11.65</v>
      </c>
      <c r="AR16" s="332" t="s">
        <v>148</v>
      </c>
    </row>
    <row r="17" spans="1:44" ht="22.5" customHeight="1" x14ac:dyDescent="0.15">
      <c r="A17">
        <v>12</v>
      </c>
      <c r="B17" s="323" t="s">
        <v>39</v>
      </c>
      <c r="C17" s="324" t="s">
        <v>503</v>
      </c>
      <c r="D17" s="325" t="s">
        <v>35</v>
      </c>
      <c r="E17" s="326" t="s">
        <v>36</v>
      </c>
      <c r="F17" s="240">
        <v>68590011</v>
      </c>
      <c r="G17" s="240">
        <v>38216500</v>
      </c>
      <c r="H17" s="240">
        <v>4543930</v>
      </c>
      <c r="I17" s="283">
        <v>2740150000</v>
      </c>
      <c r="J17" s="285">
        <v>10.3</v>
      </c>
      <c r="K17" s="284">
        <v>2851500442</v>
      </c>
      <c r="L17" s="240"/>
      <c r="M17" s="240"/>
      <c r="N17" s="240"/>
      <c r="O17" s="240"/>
      <c r="P17" s="240"/>
      <c r="Q17" s="240"/>
      <c r="R17" s="240"/>
      <c r="S17" s="240"/>
      <c r="T17" s="283"/>
      <c r="U17" s="288"/>
      <c r="V17" s="284"/>
      <c r="W17" s="240">
        <v>2851500442.9506073</v>
      </c>
      <c r="X17" s="240">
        <v>2740150000</v>
      </c>
      <c r="Y17" s="290">
        <v>96.1</v>
      </c>
      <c r="Z17" s="294" t="s">
        <v>501</v>
      </c>
      <c r="AA17" s="240">
        <v>96</v>
      </c>
      <c r="AB17" s="307" t="s">
        <v>502</v>
      </c>
      <c r="AC17" s="240">
        <v>21</v>
      </c>
      <c r="AD17" s="4"/>
      <c r="AE17" s="240"/>
      <c r="AF17" s="4"/>
      <c r="AG17" s="240"/>
      <c r="AH17" s="240">
        <v>27546939</v>
      </c>
      <c r="AI17" s="240">
        <v>9856869</v>
      </c>
      <c r="AJ17" s="240" t="s">
        <v>440</v>
      </c>
      <c r="AK17" s="240" t="s">
        <v>440</v>
      </c>
      <c r="AL17" s="240">
        <v>22</v>
      </c>
      <c r="AM17" s="240">
        <v>7812329</v>
      </c>
      <c r="AN17" s="240">
        <v>491638007</v>
      </c>
      <c r="AO17" s="241"/>
      <c r="AP17" s="302"/>
      <c r="AQ17" s="302">
        <v>2.41</v>
      </c>
      <c r="AR17" s="332" t="s">
        <v>148</v>
      </c>
    </row>
    <row r="18" spans="1:44" s="6" customFormat="1" ht="22.5" customHeight="1" x14ac:dyDescent="0.15">
      <c r="A18">
        <v>13</v>
      </c>
      <c r="B18" s="323" t="s">
        <v>88</v>
      </c>
      <c r="C18" s="324" t="s">
        <v>504</v>
      </c>
      <c r="D18" s="325" t="s">
        <v>35</v>
      </c>
      <c r="E18" s="326" t="s">
        <v>36</v>
      </c>
      <c r="F18" s="240">
        <v>38623501</v>
      </c>
      <c r="G18" s="240">
        <v>21519971</v>
      </c>
      <c r="H18" s="240">
        <v>2558718</v>
      </c>
      <c r="I18" s="283">
        <v>2581804000</v>
      </c>
      <c r="J18" s="285">
        <v>5.8</v>
      </c>
      <c r="K18" s="284">
        <v>2644506191</v>
      </c>
      <c r="L18" s="240"/>
      <c r="M18" s="240"/>
      <c r="N18" s="240"/>
      <c r="O18" s="240"/>
      <c r="P18" s="240"/>
      <c r="Q18" s="240"/>
      <c r="R18" s="240"/>
      <c r="S18" s="240"/>
      <c r="T18" s="283"/>
      <c r="U18" s="288"/>
      <c r="V18" s="284"/>
      <c r="W18" s="240">
        <v>2644506191</v>
      </c>
      <c r="X18" s="240">
        <v>2581804000</v>
      </c>
      <c r="Y18" s="290">
        <v>97.63</v>
      </c>
      <c r="Z18" s="294" t="s">
        <v>501</v>
      </c>
      <c r="AA18" s="240">
        <v>96</v>
      </c>
      <c r="AB18" s="4"/>
      <c r="AC18" s="240"/>
      <c r="AD18" s="4"/>
      <c r="AE18" s="240"/>
      <c r="AF18" s="4"/>
      <c r="AG18" s="240"/>
      <c r="AH18" s="240">
        <v>27546939</v>
      </c>
      <c r="AI18" s="240"/>
      <c r="AJ18" s="240" t="s">
        <v>440</v>
      </c>
      <c r="AK18" s="240" t="s">
        <v>440</v>
      </c>
      <c r="AL18" s="240"/>
      <c r="AM18" s="240"/>
      <c r="AN18" s="240"/>
      <c r="AO18" s="241"/>
      <c r="AP18" s="302"/>
      <c r="AQ18" s="302"/>
      <c r="AR18" s="332"/>
    </row>
    <row r="19" spans="1:44" ht="22.5" customHeight="1" x14ac:dyDescent="0.15">
      <c r="A19">
        <v>14</v>
      </c>
      <c r="B19" s="323" t="s">
        <v>88</v>
      </c>
      <c r="C19" s="324" t="s">
        <v>505</v>
      </c>
      <c r="D19" s="325" t="s">
        <v>35</v>
      </c>
      <c r="E19" s="326" t="s">
        <v>36</v>
      </c>
      <c r="F19" s="240">
        <v>29966510</v>
      </c>
      <c r="G19" s="240">
        <v>16696529</v>
      </c>
      <c r="H19" s="240">
        <v>1985212</v>
      </c>
      <c r="I19" s="283">
        <v>158346000</v>
      </c>
      <c r="J19" s="285">
        <v>4.5</v>
      </c>
      <c r="K19" s="284">
        <v>206994251</v>
      </c>
      <c r="L19" s="240"/>
      <c r="M19" s="240"/>
      <c r="N19" s="240"/>
      <c r="O19" s="240"/>
      <c r="P19" s="240"/>
      <c r="Q19" s="240"/>
      <c r="R19" s="240"/>
      <c r="S19" s="240"/>
      <c r="T19" s="283"/>
      <c r="U19" s="288"/>
      <c r="V19" s="284"/>
      <c r="W19" s="240">
        <v>206994251</v>
      </c>
      <c r="X19" s="240">
        <v>158346000</v>
      </c>
      <c r="Y19" s="290">
        <v>76.5</v>
      </c>
      <c r="Z19" s="307" t="s">
        <v>502</v>
      </c>
      <c r="AA19" s="240">
        <v>21</v>
      </c>
      <c r="AB19" s="4"/>
      <c r="AC19" s="240"/>
      <c r="AD19" s="4"/>
      <c r="AE19" s="240"/>
      <c r="AF19" s="4"/>
      <c r="AG19" s="240"/>
      <c r="AH19" s="240">
        <v>9856869</v>
      </c>
      <c r="AI19" s="240"/>
      <c r="AJ19" s="240" t="s">
        <v>440</v>
      </c>
      <c r="AK19" s="240" t="s">
        <v>440</v>
      </c>
      <c r="AL19" s="240"/>
      <c r="AM19" s="240"/>
      <c r="AN19" s="240"/>
      <c r="AO19" s="240"/>
      <c r="AP19" s="302"/>
      <c r="AQ19" s="302"/>
      <c r="AR19" s="332"/>
    </row>
    <row r="20" spans="1:44" s="6" customFormat="1" ht="22.5" customHeight="1" x14ac:dyDescent="0.15">
      <c r="A20" s="6">
        <v>15</v>
      </c>
      <c r="B20" s="323" t="s">
        <v>534</v>
      </c>
      <c r="C20" s="324" t="s">
        <v>531</v>
      </c>
      <c r="D20" s="591" t="s">
        <v>35</v>
      </c>
      <c r="E20" s="330" t="s">
        <v>36</v>
      </c>
      <c r="F20" s="240"/>
      <c r="G20" s="240"/>
      <c r="H20" s="240"/>
      <c r="I20" s="283"/>
      <c r="J20" s="285"/>
      <c r="K20" s="284"/>
      <c r="L20" s="240"/>
      <c r="M20" s="240"/>
      <c r="N20" s="240"/>
      <c r="O20" s="240"/>
      <c r="P20" s="240"/>
      <c r="Q20" s="240"/>
      <c r="R20" s="240"/>
      <c r="S20" s="240"/>
      <c r="T20" s="283"/>
      <c r="U20" s="288"/>
      <c r="V20" s="284"/>
      <c r="W20" s="240"/>
      <c r="X20" s="240"/>
      <c r="Y20" s="290"/>
      <c r="Z20" s="307"/>
      <c r="AA20" s="240"/>
      <c r="AB20" s="4"/>
      <c r="AC20" s="240"/>
      <c r="AD20" s="4"/>
      <c r="AE20" s="240"/>
      <c r="AF20" s="4"/>
      <c r="AG20" s="240"/>
      <c r="AH20" s="240"/>
      <c r="AI20" s="240"/>
      <c r="AJ20" s="240"/>
      <c r="AK20" s="240"/>
      <c r="AL20" s="240"/>
      <c r="AM20" s="240"/>
      <c r="AN20" s="240"/>
      <c r="AO20" s="240"/>
      <c r="AP20" s="302"/>
      <c r="AQ20" s="302"/>
      <c r="AR20" s="593"/>
    </row>
    <row r="21" spans="1:44" ht="22.5" customHeight="1" x14ac:dyDescent="0.15">
      <c r="A21">
        <v>16</v>
      </c>
      <c r="B21" s="323" t="s">
        <v>39</v>
      </c>
      <c r="C21" s="324" t="s">
        <v>91</v>
      </c>
      <c r="D21" s="325" t="s">
        <v>35</v>
      </c>
      <c r="E21" s="326" t="s">
        <v>36</v>
      </c>
      <c r="F21" s="240">
        <v>286346651</v>
      </c>
      <c r="G21" s="240">
        <v>1921628848</v>
      </c>
      <c r="H21" s="240">
        <v>111090460</v>
      </c>
      <c r="I21" s="283">
        <v>1209395193</v>
      </c>
      <c r="J21" s="285">
        <v>43</v>
      </c>
      <c r="K21" s="284">
        <v>3528461152</v>
      </c>
      <c r="L21" s="240"/>
      <c r="M21" s="240"/>
      <c r="N21" s="240"/>
      <c r="O21" s="240"/>
      <c r="P21" s="240"/>
      <c r="Q21" s="240"/>
      <c r="R21" s="240"/>
      <c r="S21" s="240"/>
      <c r="T21" s="283"/>
      <c r="U21" s="288"/>
      <c r="V21" s="284"/>
      <c r="W21" s="240">
        <v>3528461152</v>
      </c>
      <c r="X21" s="240"/>
      <c r="Y21" s="290" t="s">
        <v>440</v>
      </c>
      <c r="Z21" s="297" t="s">
        <v>235</v>
      </c>
      <c r="AA21" s="240">
        <v>18</v>
      </c>
      <c r="AB21" s="4"/>
      <c r="AC21" s="240"/>
      <c r="AD21" s="4"/>
      <c r="AE21" s="240"/>
      <c r="AF21" s="4"/>
      <c r="AG21" s="240"/>
      <c r="AH21" s="240">
        <v>196025619</v>
      </c>
      <c r="AI21" s="240"/>
      <c r="AJ21" s="240"/>
      <c r="AK21" s="240"/>
      <c r="AL21" s="240">
        <v>27</v>
      </c>
      <c r="AM21" s="240">
        <v>9667016</v>
      </c>
      <c r="AN21" s="240">
        <v>82057236</v>
      </c>
      <c r="AO21" s="241"/>
      <c r="AP21" s="302" t="s">
        <v>440</v>
      </c>
      <c r="AQ21" s="302">
        <v>8.1199999999999992</v>
      </c>
      <c r="AR21" s="536" t="s">
        <v>148</v>
      </c>
    </row>
    <row r="22" spans="1:44" ht="22.5" customHeight="1" x14ac:dyDescent="0.15">
      <c r="A22">
        <v>17</v>
      </c>
      <c r="B22" s="323" t="s">
        <v>39</v>
      </c>
      <c r="C22" s="324" t="s">
        <v>92</v>
      </c>
      <c r="D22" s="323" t="s">
        <v>35</v>
      </c>
      <c r="E22" s="330" t="s">
        <v>38</v>
      </c>
      <c r="F22" s="240">
        <v>2578291887</v>
      </c>
      <c r="G22" s="240">
        <v>1792725107</v>
      </c>
      <c r="H22" s="240">
        <v>287873419</v>
      </c>
      <c r="I22" s="283">
        <v>6292289671</v>
      </c>
      <c r="J22" s="285">
        <v>387.1</v>
      </c>
      <c r="K22" s="284">
        <v>10951180084</v>
      </c>
      <c r="L22" s="240">
        <v>1663519913</v>
      </c>
      <c r="M22" s="240">
        <v>656653713</v>
      </c>
      <c r="N22" s="240">
        <v>197244439</v>
      </c>
      <c r="O22" s="240">
        <v>41141047</v>
      </c>
      <c r="P22" s="240">
        <v>1860764352</v>
      </c>
      <c r="Q22" s="240">
        <v>-1928551</v>
      </c>
      <c r="R22" s="240">
        <v>697794760</v>
      </c>
      <c r="S22" s="240"/>
      <c r="T22" s="283"/>
      <c r="U22" s="288">
        <v>214</v>
      </c>
      <c r="V22" s="284">
        <v>2556630561</v>
      </c>
      <c r="W22" s="240">
        <v>13507810645</v>
      </c>
      <c r="X22" s="240"/>
      <c r="Y22" s="290" t="s">
        <v>440</v>
      </c>
      <c r="Z22" s="5" t="s">
        <v>236</v>
      </c>
      <c r="AA22" s="240">
        <v>7</v>
      </c>
      <c r="AB22" s="4"/>
      <c r="AC22" s="240"/>
      <c r="AD22" s="4"/>
      <c r="AE22" s="240"/>
      <c r="AF22" s="4"/>
      <c r="AG22" s="240"/>
      <c r="AH22" s="240">
        <v>1929687235</v>
      </c>
      <c r="AI22" s="240"/>
      <c r="AJ22" s="240"/>
      <c r="AK22" s="240"/>
      <c r="AL22" s="240">
        <v>106</v>
      </c>
      <c r="AM22" s="240">
        <v>37007700</v>
      </c>
      <c r="AN22" s="240">
        <v>22468978</v>
      </c>
      <c r="AO22" s="240"/>
      <c r="AP22" s="302" t="s">
        <v>440</v>
      </c>
      <c r="AQ22" s="302">
        <v>32.85</v>
      </c>
      <c r="AR22" s="536" t="s">
        <v>149</v>
      </c>
    </row>
    <row r="23" spans="1:44" ht="22.5" customHeight="1" x14ac:dyDescent="0.15">
      <c r="A23">
        <v>18</v>
      </c>
      <c r="B23" s="323" t="s">
        <v>88</v>
      </c>
      <c r="C23" s="324" t="s">
        <v>90</v>
      </c>
      <c r="D23" s="325" t="s">
        <v>87</v>
      </c>
      <c r="E23" s="326" t="s">
        <v>36</v>
      </c>
      <c r="F23" s="240">
        <v>426190365</v>
      </c>
      <c r="G23" s="240">
        <v>611194170</v>
      </c>
      <c r="H23" s="240">
        <v>98144749</v>
      </c>
      <c r="I23" s="283">
        <v>694222960</v>
      </c>
      <c r="J23" s="285">
        <v>64</v>
      </c>
      <c r="K23" s="284">
        <v>1829752244</v>
      </c>
      <c r="L23" s="240"/>
      <c r="M23" s="240"/>
      <c r="N23" s="240"/>
      <c r="O23" s="240"/>
      <c r="P23" s="240"/>
      <c r="Q23" s="240"/>
      <c r="R23" s="240"/>
      <c r="S23" s="240"/>
      <c r="T23" s="283"/>
      <c r="U23" s="295"/>
      <c r="V23" s="284"/>
      <c r="W23" s="240">
        <v>1829752244</v>
      </c>
      <c r="X23" s="240"/>
      <c r="Y23" s="290" t="s">
        <v>440</v>
      </c>
      <c r="Z23" s="5" t="s">
        <v>237</v>
      </c>
      <c r="AA23" s="240">
        <v>355725</v>
      </c>
      <c r="AB23" s="4"/>
      <c r="AC23" s="240"/>
      <c r="AD23" s="4"/>
      <c r="AE23" s="240"/>
      <c r="AF23" s="4"/>
      <c r="AG23" s="240"/>
      <c r="AH23" s="240">
        <v>5143</v>
      </c>
      <c r="AI23" s="240"/>
      <c r="AJ23" s="240"/>
      <c r="AK23" s="240"/>
      <c r="AL23" s="240">
        <v>14</v>
      </c>
      <c r="AM23" s="240">
        <v>5013019</v>
      </c>
      <c r="AN23" s="240">
        <v>28589878</v>
      </c>
      <c r="AO23" s="241">
        <v>327809067706</v>
      </c>
      <c r="AP23" s="302">
        <v>0.56000000000000005</v>
      </c>
      <c r="AQ23" s="302">
        <v>23.29</v>
      </c>
      <c r="AR23" s="536" t="s">
        <v>150</v>
      </c>
    </row>
    <row r="24" spans="1:44" ht="22.5" customHeight="1" x14ac:dyDescent="0.15">
      <c r="A24">
        <v>19</v>
      </c>
      <c r="B24" s="328" t="s">
        <v>93</v>
      </c>
      <c r="C24" s="327" t="s">
        <v>356</v>
      </c>
      <c r="D24" s="328" t="s">
        <v>338</v>
      </c>
      <c r="E24" s="328" t="s">
        <v>339</v>
      </c>
      <c r="F24" s="240">
        <v>99888366</v>
      </c>
      <c r="G24" s="240">
        <v>57589985</v>
      </c>
      <c r="H24" s="240">
        <v>7072844</v>
      </c>
      <c r="I24" s="283"/>
      <c r="J24" s="285">
        <v>15</v>
      </c>
      <c r="K24" s="284">
        <v>164551197</v>
      </c>
      <c r="L24" s="240"/>
      <c r="M24" s="240"/>
      <c r="N24" s="240"/>
      <c r="O24" s="240"/>
      <c r="P24" s="240"/>
      <c r="Q24" s="240"/>
      <c r="R24" s="240"/>
      <c r="S24" s="240"/>
      <c r="T24" s="283"/>
      <c r="U24" s="288"/>
      <c r="V24" s="284"/>
      <c r="W24" s="240">
        <v>164551197</v>
      </c>
      <c r="X24" s="240">
        <v>150648000</v>
      </c>
      <c r="Y24" s="290">
        <v>91.55</v>
      </c>
      <c r="Z24" s="5" t="s">
        <v>359</v>
      </c>
      <c r="AA24" s="240">
        <v>18831</v>
      </c>
      <c r="AB24" s="4"/>
      <c r="AC24" s="240"/>
      <c r="AD24" s="4"/>
      <c r="AE24" s="240"/>
      <c r="AF24" s="4"/>
      <c r="AG24" s="240"/>
      <c r="AH24" s="240">
        <v>8738</v>
      </c>
      <c r="AI24" s="240"/>
      <c r="AJ24" s="240"/>
      <c r="AK24" s="240" t="s">
        <v>440</v>
      </c>
      <c r="AL24" s="240">
        <v>1</v>
      </c>
      <c r="AM24" s="240">
        <v>450825</v>
      </c>
      <c r="AN24" s="240">
        <v>10970079</v>
      </c>
      <c r="AO24" s="241"/>
      <c r="AP24" s="302"/>
      <c r="AQ24" s="302">
        <v>60.7</v>
      </c>
      <c r="AR24" s="536" t="s">
        <v>148</v>
      </c>
    </row>
    <row r="25" spans="1:44" ht="22.5" customHeight="1" x14ac:dyDescent="0.15">
      <c r="A25">
        <v>20</v>
      </c>
      <c r="B25" s="323" t="s">
        <v>93</v>
      </c>
      <c r="C25" s="324" t="s">
        <v>94</v>
      </c>
      <c r="D25" s="325" t="s">
        <v>35</v>
      </c>
      <c r="E25" s="326" t="s">
        <v>36</v>
      </c>
      <c r="F25" s="240">
        <v>155233181257</v>
      </c>
      <c r="G25" s="240">
        <v>4840422999</v>
      </c>
      <c r="H25" s="240">
        <v>24477957062</v>
      </c>
      <c r="I25" s="283">
        <v>67949009663</v>
      </c>
      <c r="J25" s="285">
        <v>23311</v>
      </c>
      <c r="K25" s="284">
        <v>252500570981</v>
      </c>
      <c r="L25" s="240"/>
      <c r="M25" s="240"/>
      <c r="N25" s="240"/>
      <c r="O25" s="240"/>
      <c r="P25" s="240"/>
      <c r="Q25" s="240"/>
      <c r="R25" s="240"/>
      <c r="S25" s="240"/>
      <c r="T25" s="283"/>
      <c r="U25" s="288"/>
      <c r="V25" s="284"/>
      <c r="W25" s="240">
        <v>252500570981</v>
      </c>
      <c r="X25" s="240">
        <v>3905863249</v>
      </c>
      <c r="Y25" s="290">
        <v>1.55</v>
      </c>
      <c r="Z25" s="5" t="s">
        <v>238</v>
      </c>
      <c r="AA25" s="240">
        <v>56688</v>
      </c>
      <c r="AB25" s="4"/>
      <c r="AC25" s="240"/>
      <c r="AD25" s="4"/>
      <c r="AE25" s="240"/>
      <c r="AF25" s="4"/>
      <c r="AG25" s="240"/>
      <c r="AH25" s="240">
        <v>12203</v>
      </c>
      <c r="AI25" s="240"/>
      <c r="AJ25" s="240"/>
      <c r="AK25" s="240"/>
      <c r="AL25" s="240">
        <v>1992</v>
      </c>
      <c r="AM25" s="240">
        <v>691782386</v>
      </c>
      <c r="AN25" s="240">
        <v>10831820</v>
      </c>
      <c r="AO25" s="241"/>
      <c r="AP25" s="302" t="s">
        <v>440</v>
      </c>
      <c r="AQ25" s="302">
        <v>61.48</v>
      </c>
      <c r="AR25" s="536" t="s">
        <v>148</v>
      </c>
    </row>
    <row r="26" spans="1:44" ht="22.5" customHeight="1" x14ac:dyDescent="0.15">
      <c r="A26">
        <v>21</v>
      </c>
      <c r="B26" s="328" t="s">
        <v>93</v>
      </c>
      <c r="C26" s="327" t="s">
        <v>507</v>
      </c>
      <c r="D26" s="328" t="s">
        <v>338</v>
      </c>
      <c r="E26" s="328" t="s">
        <v>339</v>
      </c>
      <c r="F26" s="240">
        <v>344947826</v>
      </c>
      <c r="G26" s="240">
        <v>33837884</v>
      </c>
      <c r="H26" s="240">
        <v>22277278</v>
      </c>
      <c r="I26" s="283">
        <v>391702170</v>
      </c>
      <c r="J26" s="285">
        <v>51.8</v>
      </c>
      <c r="K26" s="284">
        <v>792765160</v>
      </c>
      <c r="L26" s="240"/>
      <c r="M26" s="240"/>
      <c r="N26" s="240"/>
      <c r="O26" s="240"/>
      <c r="P26" s="240"/>
      <c r="Q26" s="240"/>
      <c r="R26" s="240"/>
      <c r="S26" s="240"/>
      <c r="T26" s="283"/>
      <c r="U26" s="288"/>
      <c r="V26" s="284"/>
      <c r="W26" s="240">
        <v>792765160</v>
      </c>
      <c r="X26" s="240"/>
      <c r="Y26" s="290"/>
      <c r="Z26" s="5" t="s">
        <v>358</v>
      </c>
      <c r="AA26" s="240">
        <v>225040</v>
      </c>
      <c r="AB26" s="4"/>
      <c r="AC26" s="240"/>
      <c r="AD26" s="4"/>
      <c r="AE26" s="240"/>
      <c r="AF26" s="4"/>
      <c r="AG26" s="240"/>
      <c r="AH26" s="240">
        <v>3522</v>
      </c>
      <c r="AI26" s="240"/>
      <c r="AJ26" s="240"/>
      <c r="AK26" s="240" t="s">
        <v>440</v>
      </c>
      <c r="AL26" s="240">
        <v>6</v>
      </c>
      <c r="AM26" s="240">
        <v>2171959</v>
      </c>
      <c r="AN26" s="240">
        <v>15304346</v>
      </c>
      <c r="AO26" s="240"/>
      <c r="AP26" s="302"/>
      <c r="AQ26" s="302">
        <v>43.51</v>
      </c>
      <c r="AR26" s="536" t="s">
        <v>148</v>
      </c>
    </row>
    <row r="27" spans="1:44" ht="22.5" customHeight="1" x14ac:dyDescent="0.15">
      <c r="A27">
        <v>22</v>
      </c>
      <c r="B27" s="323" t="s">
        <v>93</v>
      </c>
      <c r="C27" s="324" t="s">
        <v>95</v>
      </c>
      <c r="D27" s="325" t="s">
        <v>35</v>
      </c>
      <c r="E27" s="326" t="s">
        <v>36</v>
      </c>
      <c r="F27" s="240">
        <v>3083220922</v>
      </c>
      <c r="G27" s="240">
        <v>532773868</v>
      </c>
      <c r="H27" s="240">
        <v>247452784</v>
      </c>
      <c r="I27" s="283">
        <v>1227180193</v>
      </c>
      <c r="J27" s="285">
        <v>463</v>
      </c>
      <c r="K27" s="284">
        <v>5090627767</v>
      </c>
      <c r="L27" s="240"/>
      <c r="M27" s="240"/>
      <c r="N27" s="240"/>
      <c r="O27" s="240"/>
      <c r="P27" s="240"/>
      <c r="Q27" s="240"/>
      <c r="R27" s="240"/>
      <c r="S27" s="240"/>
      <c r="T27" s="283"/>
      <c r="U27" s="288"/>
      <c r="V27" s="284"/>
      <c r="W27" s="240">
        <v>5090627767</v>
      </c>
      <c r="X27" s="240"/>
      <c r="Y27" s="290" t="s">
        <v>440</v>
      </c>
      <c r="Z27" s="293" t="s">
        <v>239</v>
      </c>
      <c r="AA27" s="240">
        <v>6850</v>
      </c>
      <c r="AB27" s="4"/>
      <c r="AC27" s="240"/>
      <c r="AD27" s="4"/>
      <c r="AE27" s="240"/>
      <c r="AF27" s="4"/>
      <c r="AG27" s="240"/>
      <c r="AH27" s="240">
        <v>743157</v>
      </c>
      <c r="AI27" s="240"/>
      <c r="AJ27" s="240"/>
      <c r="AK27" s="240"/>
      <c r="AL27" s="240">
        <v>40</v>
      </c>
      <c r="AM27" s="240">
        <v>13946925</v>
      </c>
      <c r="AN27" s="240">
        <v>10994876</v>
      </c>
      <c r="AO27" s="241"/>
      <c r="AP27" s="302" t="s">
        <v>440</v>
      </c>
      <c r="AQ27" s="302">
        <v>60.57</v>
      </c>
      <c r="AR27" s="536" t="s">
        <v>148</v>
      </c>
    </row>
    <row r="28" spans="1:44" ht="22.5" customHeight="1" x14ac:dyDescent="0.15">
      <c r="A28">
        <v>23</v>
      </c>
      <c r="B28" s="323" t="s">
        <v>93</v>
      </c>
      <c r="C28" s="324" t="s">
        <v>332</v>
      </c>
      <c r="D28" s="325" t="s">
        <v>35</v>
      </c>
      <c r="E28" s="326" t="s">
        <v>36</v>
      </c>
      <c r="F28" s="240">
        <v>28741212745</v>
      </c>
      <c r="G28" s="240">
        <v>2621160412</v>
      </c>
      <c r="H28" s="240">
        <v>1333359040</v>
      </c>
      <c r="I28" s="283">
        <v>21647320252</v>
      </c>
      <c r="J28" s="285">
        <v>4316</v>
      </c>
      <c r="K28" s="284">
        <v>54343052449</v>
      </c>
      <c r="L28" s="240"/>
      <c r="M28" s="240"/>
      <c r="N28" s="240"/>
      <c r="O28" s="240"/>
      <c r="P28" s="240"/>
      <c r="Q28" s="240"/>
      <c r="R28" s="240"/>
      <c r="S28" s="240"/>
      <c r="T28" s="283"/>
      <c r="U28" s="288"/>
      <c r="V28" s="284"/>
      <c r="W28" s="240">
        <v>54343052449</v>
      </c>
      <c r="X28" s="240">
        <v>3710712500</v>
      </c>
      <c r="Y28" s="290">
        <v>6.83</v>
      </c>
      <c r="Z28" s="5" t="s">
        <v>240</v>
      </c>
      <c r="AA28" s="240">
        <v>106767772</v>
      </c>
      <c r="AB28" s="4"/>
      <c r="AC28" s="240"/>
      <c r="AD28" s="4"/>
      <c r="AE28" s="240"/>
      <c r="AF28" s="4"/>
      <c r="AG28" s="240"/>
      <c r="AH28" s="240">
        <v>508</v>
      </c>
      <c r="AI28" s="240"/>
      <c r="AJ28" s="240"/>
      <c r="AK28" s="240"/>
      <c r="AL28" s="240">
        <v>428</v>
      </c>
      <c r="AM28" s="240">
        <v>148885075</v>
      </c>
      <c r="AN28" s="240">
        <v>12591068</v>
      </c>
      <c r="AO28" s="240"/>
      <c r="AP28" s="302" t="s">
        <v>440</v>
      </c>
      <c r="AQ28" s="302">
        <v>52.89</v>
      </c>
      <c r="AR28" s="536" t="s">
        <v>148</v>
      </c>
    </row>
    <row r="29" spans="1:44" ht="22.5" customHeight="1" x14ac:dyDescent="0.15">
      <c r="A29">
        <v>24</v>
      </c>
      <c r="B29" s="328" t="s">
        <v>97</v>
      </c>
      <c r="C29" s="327" t="s">
        <v>428</v>
      </c>
      <c r="D29" s="328" t="s">
        <v>338</v>
      </c>
      <c r="E29" s="328" t="s">
        <v>339</v>
      </c>
      <c r="F29" s="240">
        <v>26320290</v>
      </c>
      <c r="G29" s="240">
        <v>32267647</v>
      </c>
      <c r="H29" s="240">
        <v>331609</v>
      </c>
      <c r="I29" s="283">
        <v>44017174</v>
      </c>
      <c r="J29" s="286">
        <v>2.6</v>
      </c>
      <c r="K29" s="284">
        <v>102936721</v>
      </c>
      <c r="L29" s="240"/>
      <c r="M29" s="240"/>
      <c r="N29" s="240"/>
      <c r="O29" s="240"/>
      <c r="P29" s="240"/>
      <c r="Q29" s="240"/>
      <c r="R29" s="240"/>
      <c r="S29" s="240"/>
      <c r="T29" s="283"/>
      <c r="U29" s="296"/>
      <c r="V29" s="284"/>
      <c r="W29" s="240">
        <v>102936721</v>
      </c>
      <c r="X29" s="240"/>
      <c r="Y29" s="290"/>
      <c r="Z29" s="327" t="s">
        <v>360</v>
      </c>
      <c r="AA29" s="240">
        <v>43</v>
      </c>
      <c r="AB29" s="327" t="s">
        <v>361</v>
      </c>
      <c r="AC29" s="240">
        <v>138</v>
      </c>
      <c r="AD29" s="4"/>
      <c r="AE29" s="240"/>
      <c r="AF29" s="4"/>
      <c r="AG29" s="240"/>
      <c r="AH29" s="240">
        <v>2393877</v>
      </c>
      <c r="AI29" s="240">
        <v>745918</v>
      </c>
      <c r="AJ29" s="240" t="s">
        <v>440</v>
      </c>
      <c r="AK29" s="240" t="s">
        <v>440</v>
      </c>
      <c r="AL29" s="310">
        <v>0.8</v>
      </c>
      <c r="AM29" s="240">
        <v>282018</v>
      </c>
      <c r="AN29" s="240">
        <v>39288825</v>
      </c>
      <c r="AO29" s="240"/>
      <c r="AP29" s="302"/>
      <c r="AQ29" s="302">
        <v>25.57</v>
      </c>
      <c r="AR29" s="536" t="s">
        <v>148</v>
      </c>
    </row>
    <row r="30" spans="1:44" ht="22.5" customHeight="1" x14ac:dyDescent="0.15">
      <c r="A30">
        <v>25</v>
      </c>
      <c r="B30" s="328" t="s">
        <v>97</v>
      </c>
      <c r="C30" s="327" t="s">
        <v>427</v>
      </c>
      <c r="D30" s="328" t="s">
        <v>338</v>
      </c>
      <c r="E30" s="328" t="s">
        <v>339</v>
      </c>
      <c r="F30" s="240">
        <v>332961</v>
      </c>
      <c r="G30" s="240">
        <v>1954170</v>
      </c>
      <c r="H30" s="240">
        <v>39782</v>
      </c>
      <c r="I30" s="283">
        <v>7291428</v>
      </c>
      <c r="J30" s="287">
        <v>0.05</v>
      </c>
      <c r="K30" s="284">
        <v>9618342</v>
      </c>
      <c r="L30" s="240"/>
      <c r="M30" s="240"/>
      <c r="N30" s="240"/>
      <c r="O30" s="240"/>
      <c r="P30" s="240"/>
      <c r="Q30" s="240"/>
      <c r="R30" s="240"/>
      <c r="S30" s="240"/>
      <c r="T30" s="283"/>
      <c r="U30" s="288"/>
      <c r="V30" s="284"/>
      <c r="W30" s="240">
        <v>9618342</v>
      </c>
      <c r="X30" s="240"/>
      <c r="Y30" s="290"/>
      <c r="Z30" s="499" t="s">
        <v>363</v>
      </c>
      <c r="AA30" s="240">
        <v>61</v>
      </c>
      <c r="AB30" s="4" t="s">
        <v>443</v>
      </c>
      <c r="AC30" s="240">
        <v>7</v>
      </c>
      <c r="AD30" s="4" t="s">
        <v>361</v>
      </c>
      <c r="AE30" s="240">
        <v>92</v>
      </c>
      <c r="AF30" s="4"/>
      <c r="AG30" s="240"/>
      <c r="AH30" s="240">
        <v>157677</v>
      </c>
      <c r="AI30" s="240">
        <v>1374048</v>
      </c>
      <c r="AJ30" s="240">
        <v>104547</v>
      </c>
      <c r="AK30" s="240" t="s">
        <v>440</v>
      </c>
      <c r="AL30" s="311">
        <v>7.0000000000000007E-2</v>
      </c>
      <c r="AM30" s="240">
        <v>26351</v>
      </c>
      <c r="AN30" s="240" t="s">
        <v>440</v>
      </c>
      <c r="AO30" s="241"/>
      <c r="AP30" s="302"/>
      <c r="AQ30" s="302">
        <v>3.46</v>
      </c>
      <c r="AR30" s="536" t="s">
        <v>148</v>
      </c>
    </row>
    <row r="31" spans="1:44" ht="22.5" customHeight="1" x14ac:dyDescent="0.15">
      <c r="A31">
        <v>26</v>
      </c>
      <c r="B31" s="328" t="s">
        <v>97</v>
      </c>
      <c r="C31" s="327" t="s">
        <v>355</v>
      </c>
      <c r="D31" s="328" t="s">
        <v>338</v>
      </c>
      <c r="E31" s="328" t="s">
        <v>339</v>
      </c>
      <c r="F31" s="240">
        <v>6226273</v>
      </c>
      <c r="G31" s="240">
        <v>7640438</v>
      </c>
      <c r="H31" s="240">
        <v>36862</v>
      </c>
      <c r="I31" s="283">
        <v>43086240</v>
      </c>
      <c r="J31" s="287">
        <v>0.48</v>
      </c>
      <c r="K31" s="284">
        <v>56989814</v>
      </c>
      <c r="L31" s="240"/>
      <c r="M31" s="240"/>
      <c r="N31" s="240"/>
      <c r="O31" s="240"/>
      <c r="P31" s="240"/>
      <c r="Q31" s="240"/>
      <c r="R31" s="240"/>
      <c r="S31" s="240"/>
      <c r="T31" s="283"/>
      <c r="U31" s="288"/>
      <c r="V31" s="284"/>
      <c r="W31" s="240">
        <v>56989814</v>
      </c>
      <c r="X31" s="240"/>
      <c r="Y31" s="290"/>
      <c r="Z31" s="5" t="s">
        <v>360</v>
      </c>
      <c r="AA31" s="240">
        <v>23</v>
      </c>
      <c r="AB31" s="497" t="s">
        <v>362</v>
      </c>
      <c r="AC31" s="240">
        <v>24</v>
      </c>
      <c r="AD31" s="4"/>
      <c r="AE31" s="240"/>
      <c r="AF31" s="4"/>
      <c r="AG31" s="240"/>
      <c r="AH31" s="240">
        <v>2477818</v>
      </c>
      <c r="AI31" s="240">
        <v>2374575</v>
      </c>
      <c r="AJ31" s="240" t="s">
        <v>440</v>
      </c>
      <c r="AK31" s="240" t="s">
        <v>440</v>
      </c>
      <c r="AL31" s="310">
        <v>0.4</v>
      </c>
      <c r="AM31" s="240">
        <v>156136</v>
      </c>
      <c r="AN31" s="240" t="s">
        <v>440</v>
      </c>
      <c r="AO31" s="241"/>
      <c r="AP31" s="302"/>
      <c r="AQ31" s="302">
        <v>10.93</v>
      </c>
      <c r="AR31" s="536" t="s">
        <v>148</v>
      </c>
    </row>
    <row r="32" spans="1:44" ht="22.5" customHeight="1" x14ac:dyDescent="0.15">
      <c r="A32">
        <v>27</v>
      </c>
      <c r="B32" s="323" t="s">
        <v>98</v>
      </c>
      <c r="C32" s="324" t="s">
        <v>99</v>
      </c>
      <c r="D32" s="325" t="s">
        <v>35</v>
      </c>
      <c r="E32" s="326" t="s">
        <v>36</v>
      </c>
      <c r="F32" s="240">
        <v>4195311406</v>
      </c>
      <c r="G32" s="240">
        <v>162439848</v>
      </c>
      <c r="H32" s="240">
        <v>122394110</v>
      </c>
      <c r="I32" s="283">
        <v>381672332</v>
      </c>
      <c r="J32" s="285">
        <v>630</v>
      </c>
      <c r="K32" s="284">
        <v>4861817697</v>
      </c>
      <c r="L32" s="240"/>
      <c r="M32" s="240"/>
      <c r="N32" s="240"/>
      <c r="O32" s="240"/>
      <c r="P32" s="240"/>
      <c r="Q32" s="240"/>
      <c r="R32" s="240"/>
      <c r="S32" s="240"/>
      <c r="T32" s="283"/>
      <c r="U32" s="288"/>
      <c r="V32" s="284"/>
      <c r="W32" s="240">
        <v>4861817697</v>
      </c>
      <c r="X32" s="240"/>
      <c r="Y32" s="290" t="s">
        <v>440</v>
      </c>
      <c r="Z32" s="293" t="s">
        <v>458</v>
      </c>
      <c r="AA32" s="240">
        <v>5570021</v>
      </c>
      <c r="AB32" s="4"/>
      <c r="AC32" s="240"/>
      <c r="AD32" s="4"/>
      <c r="AE32" s="240"/>
      <c r="AF32" s="4"/>
      <c r="AG32" s="240"/>
      <c r="AH32" s="240">
        <v>872</v>
      </c>
      <c r="AI32" s="240"/>
      <c r="AJ32" s="240"/>
      <c r="AK32" s="240"/>
      <c r="AL32" s="240">
        <v>38</v>
      </c>
      <c r="AM32" s="240">
        <v>13320048</v>
      </c>
      <c r="AN32" s="240">
        <v>7717170</v>
      </c>
      <c r="AO32" s="241"/>
      <c r="AP32" s="302" t="s">
        <v>440</v>
      </c>
      <c r="AQ32" s="302">
        <v>86.29</v>
      </c>
      <c r="AR32" s="536" t="s">
        <v>148</v>
      </c>
    </row>
    <row r="33" spans="1:44" ht="22.5" customHeight="1" x14ac:dyDescent="0.15">
      <c r="A33">
        <v>28</v>
      </c>
      <c r="B33" s="328" t="s">
        <v>98</v>
      </c>
      <c r="C33" s="327" t="s">
        <v>354</v>
      </c>
      <c r="D33" s="328" t="s">
        <v>338</v>
      </c>
      <c r="E33" s="328" t="s">
        <v>339</v>
      </c>
      <c r="F33" s="240">
        <v>30761320</v>
      </c>
      <c r="G33" s="240">
        <v>140550000</v>
      </c>
      <c r="H33" s="240">
        <v>897431</v>
      </c>
      <c r="I33" s="283">
        <v>33879000</v>
      </c>
      <c r="J33" s="285">
        <v>4.5999999999999996</v>
      </c>
      <c r="K33" s="284">
        <v>206087752</v>
      </c>
      <c r="L33" s="240"/>
      <c r="M33" s="240"/>
      <c r="N33" s="240"/>
      <c r="O33" s="240"/>
      <c r="P33" s="240"/>
      <c r="Q33" s="240"/>
      <c r="R33" s="240"/>
      <c r="S33" s="240"/>
      <c r="T33" s="283"/>
      <c r="U33" s="295"/>
      <c r="V33" s="284"/>
      <c r="W33" s="240">
        <v>206087752</v>
      </c>
      <c r="X33" s="240">
        <v>166545000</v>
      </c>
      <c r="Y33" s="290">
        <v>80.81</v>
      </c>
      <c r="Z33" s="297" t="s">
        <v>364</v>
      </c>
      <c r="AA33" s="240">
        <v>41242</v>
      </c>
      <c r="AB33" s="4" t="s">
        <v>374</v>
      </c>
      <c r="AC33" s="240">
        <v>32974</v>
      </c>
      <c r="AD33" s="4"/>
      <c r="AE33" s="240"/>
      <c r="AF33" s="4"/>
      <c r="AG33" s="240"/>
      <c r="AH33" s="240">
        <v>4997</v>
      </c>
      <c r="AI33" s="240">
        <v>6250</v>
      </c>
      <c r="AJ33" s="240" t="s">
        <v>440</v>
      </c>
      <c r="AK33" s="240" t="s">
        <v>440</v>
      </c>
      <c r="AL33" s="240">
        <v>1</v>
      </c>
      <c r="AM33" s="240">
        <v>564623</v>
      </c>
      <c r="AN33" s="240">
        <v>44613968</v>
      </c>
      <c r="AO33" s="240"/>
      <c r="AP33" s="302"/>
      <c r="AQ33" s="302">
        <v>14.93</v>
      </c>
      <c r="AR33" s="536" t="s">
        <v>148</v>
      </c>
    </row>
    <row r="34" spans="1:44" ht="22.5" customHeight="1" x14ac:dyDescent="0.15">
      <c r="A34">
        <v>29</v>
      </c>
      <c r="B34" s="323" t="s">
        <v>98</v>
      </c>
      <c r="C34" s="324" t="s">
        <v>100</v>
      </c>
      <c r="D34" s="325" t="s">
        <v>35</v>
      </c>
      <c r="E34" s="326" t="s">
        <v>36</v>
      </c>
      <c r="F34" s="240">
        <v>18872242103</v>
      </c>
      <c r="G34" s="240">
        <v>1286128952</v>
      </c>
      <c r="H34" s="240">
        <v>1458102615</v>
      </c>
      <c r="I34" s="283">
        <v>8888059009</v>
      </c>
      <c r="J34" s="285"/>
      <c r="K34" s="284">
        <v>30504532680</v>
      </c>
      <c r="L34" s="240"/>
      <c r="M34" s="240"/>
      <c r="N34" s="240"/>
      <c r="O34" s="240"/>
      <c r="P34" s="240"/>
      <c r="Q34" s="240"/>
      <c r="R34" s="240"/>
      <c r="S34" s="240"/>
      <c r="T34" s="283"/>
      <c r="U34" s="288"/>
      <c r="V34" s="284"/>
      <c r="W34" s="240">
        <v>30504532680</v>
      </c>
      <c r="X34" s="240"/>
      <c r="Y34" s="290" t="s">
        <v>440</v>
      </c>
      <c r="Z34" s="301" t="s">
        <v>459</v>
      </c>
      <c r="AA34" s="240">
        <v>92941660</v>
      </c>
      <c r="AB34" s="4"/>
      <c r="AC34" s="240"/>
      <c r="AD34" s="4"/>
      <c r="AE34" s="240"/>
      <c r="AF34" s="4"/>
      <c r="AG34" s="240"/>
      <c r="AH34" s="240">
        <v>328</v>
      </c>
      <c r="AI34" s="240"/>
      <c r="AJ34" s="240"/>
      <c r="AK34" s="240"/>
      <c r="AL34" s="240">
        <v>240</v>
      </c>
      <c r="AM34" s="240">
        <v>83574062</v>
      </c>
      <c r="AN34" s="240"/>
      <c r="AO34" s="240"/>
      <c r="AP34" s="302" t="s">
        <v>440</v>
      </c>
      <c r="AQ34" s="302">
        <v>61.87</v>
      </c>
      <c r="AR34" s="536" t="s">
        <v>148</v>
      </c>
    </row>
    <row r="35" spans="1:44" ht="22.5" customHeight="1" x14ac:dyDescent="0.15">
      <c r="A35">
        <v>30</v>
      </c>
      <c r="B35" s="323" t="s">
        <v>98</v>
      </c>
      <c r="C35" s="324" t="s">
        <v>101</v>
      </c>
      <c r="D35" s="325" t="s">
        <v>35</v>
      </c>
      <c r="E35" s="326" t="s">
        <v>36</v>
      </c>
      <c r="F35" s="240">
        <v>8623695668</v>
      </c>
      <c r="G35" s="240">
        <v>587698303</v>
      </c>
      <c r="H35" s="240">
        <v>666281893</v>
      </c>
      <c r="I35" s="283">
        <v>5675955718</v>
      </c>
      <c r="J35" s="285">
        <v>1295</v>
      </c>
      <c r="K35" s="284">
        <v>15553631584</v>
      </c>
      <c r="L35" s="240"/>
      <c r="M35" s="240"/>
      <c r="N35" s="240"/>
      <c r="O35" s="240"/>
      <c r="P35" s="240"/>
      <c r="Q35" s="240"/>
      <c r="R35" s="240"/>
      <c r="S35" s="240"/>
      <c r="T35" s="283"/>
      <c r="U35" s="295"/>
      <c r="V35" s="284"/>
      <c r="W35" s="240">
        <v>15553631584</v>
      </c>
      <c r="X35" s="240"/>
      <c r="Y35" s="290" t="s">
        <v>440</v>
      </c>
      <c r="Z35" s="297" t="s">
        <v>460</v>
      </c>
      <c r="AA35" s="240">
        <v>54390506</v>
      </c>
      <c r="AB35" s="4"/>
      <c r="AC35" s="240"/>
      <c r="AD35" s="4"/>
      <c r="AE35" s="240"/>
      <c r="AF35" s="4"/>
      <c r="AG35" s="240"/>
      <c r="AH35" s="240">
        <v>285</v>
      </c>
      <c r="AI35" s="240"/>
      <c r="AJ35" s="240"/>
      <c r="AK35" s="240"/>
      <c r="AL35" s="240">
        <v>122</v>
      </c>
      <c r="AM35" s="240">
        <v>42612689</v>
      </c>
      <c r="AN35" s="240">
        <v>12010526</v>
      </c>
      <c r="AO35" s="240"/>
      <c r="AP35" s="302" t="s">
        <v>440</v>
      </c>
      <c r="AQ35" s="302">
        <v>55.44</v>
      </c>
      <c r="AR35" s="536" t="s">
        <v>148</v>
      </c>
    </row>
    <row r="36" spans="1:44" ht="22.5" customHeight="1" x14ac:dyDescent="0.15">
      <c r="A36">
        <v>31</v>
      </c>
      <c r="B36" s="328" t="s">
        <v>102</v>
      </c>
      <c r="C36" s="327" t="s">
        <v>430</v>
      </c>
      <c r="D36" s="328" t="s">
        <v>338</v>
      </c>
      <c r="E36" s="328" t="s">
        <v>345</v>
      </c>
      <c r="F36" s="240"/>
      <c r="G36" s="240"/>
      <c r="H36" s="240"/>
      <c r="I36" s="283"/>
      <c r="J36" s="285"/>
      <c r="K36" s="284"/>
      <c r="L36" s="240">
        <v>57983578</v>
      </c>
      <c r="M36" s="240">
        <v>21604827</v>
      </c>
      <c r="N36" s="240">
        <v>20925825</v>
      </c>
      <c r="O36" s="240">
        <v>3015895</v>
      </c>
      <c r="P36" s="240">
        <v>78909403</v>
      </c>
      <c r="Q36" s="240">
        <v>-26876</v>
      </c>
      <c r="R36" s="240">
        <v>24620722</v>
      </c>
      <c r="S36" s="240">
        <v>779983</v>
      </c>
      <c r="T36" s="283">
        <v>438106</v>
      </c>
      <c r="U36" s="288">
        <v>11</v>
      </c>
      <c r="V36" s="284">
        <v>104721338</v>
      </c>
      <c r="W36" s="240">
        <v>104721338</v>
      </c>
      <c r="X36" s="240">
        <v>1462095</v>
      </c>
      <c r="Y36" s="290">
        <v>1.4</v>
      </c>
      <c r="Z36" s="297" t="s">
        <v>365</v>
      </c>
      <c r="AA36" s="240">
        <v>1550</v>
      </c>
      <c r="AB36" s="4" t="s">
        <v>444</v>
      </c>
      <c r="AC36" s="240">
        <v>7</v>
      </c>
      <c r="AD36" s="4"/>
      <c r="AE36" s="240"/>
      <c r="AF36" s="4"/>
      <c r="AG36" s="240"/>
      <c r="AH36" s="240">
        <v>67562</v>
      </c>
      <c r="AI36" s="240">
        <v>14960191</v>
      </c>
      <c r="AJ36" s="240" t="s">
        <v>440</v>
      </c>
      <c r="AK36" s="240" t="s">
        <v>440</v>
      </c>
      <c r="AL36" s="310">
        <v>0.8</v>
      </c>
      <c r="AM36" s="240">
        <v>286907</v>
      </c>
      <c r="AN36" s="240">
        <v>9520121</v>
      </c>
      <c r="AO36" s="240"/>
      <c r="AP36" s="302"/>
      <c r="AQ36" s="302">
        <v>75.33</v>
      </c>
      <c r="AR36" s="537" t="s">
        <v>149</v>
      </c>
    </row>
    <row r="37" spans="1:44" ht="22.5" customHeight="1" x14ac:dyDescent="0.15">
      <c r="A37">
        <v>32</v>
      </c>
      <c r="B37" s="323" t="s">
        <v>102</v>
      </c>
      <c r="C37" s="324" t="s">
        <v>224</v>
      </c>
      <c r="D37" s="325" t="s">
        <v>35</v>
      </c>
      <c r="E37" s="326" t="s">
        <v>36</v>
      </c>
      <c r="F37" s="240">
        <v>7991069</v>
      </c>
      <c r="G37" s="240">
        <v>8349710</v>
      </c>
      <c r="H37" s="240">
        <v>833839</v>
      </c>
      <c r="I37" s="283">
        <v>106897681</v>
      </c>
      <c r="J37" s="285">
        <v>1.2</v>
      </c>
      <c r="K37" s="284">
        <v>124072299</v>
      </c>
      <c r="L37" s="240"/>
      <c r="M37" s="240"/>
      <c r="N37" s="240"/>
      <c r="O37" s="240"/>
      <c r="P37" s="240"/>
      <c r="Q37" s="240"/>
      <c r="R37" s="240"/>
      <c r="S37" s="240"/>
      <c r="T37" s="283"/>
      <c r="U37" s="288"/>
      <c r="V37" s="284"/>
      <c r="W37" s="240">
        <v>124072299</v>
      </c>
      <c r="X37" s="240">
        <v>21162000</v>
      </c>
      <c r="Y37" s="290">
        <v>17.059999999999999</v>
      </c>
      <c r="Z37" s="501" t="s">
        <v>359</v>
      </c>
      <c r="AA37" s="240">
        <v>1593</v>
      </c>
      <c r="AB37" s="4" t="s">
        <v>241</v>
      </c>
      <c r="AC37" s="240">
        <v>1372</v>
      </c>
      <c r="AD37" s="4"/>
      <c r="AE37" s="240"/>
      <c r="AF37" s="4"/>
      <c r="AG37" s="240"/>
      <c r="AH37" s="240">
        <v>77885</v>
      </c>
      <c r="AI37" s="240">
        <v>90431</v>
      </c>
      <c r="AJ37" s="240"/>
      <c r="AK37" s="240"/>
      <c r="AL37" s="310">
        <v>0.9</v>
      </c>
      <c r="AM37" s="240">
        <v>339924</v>
      </c>
      <c r="AN37" s="240">
        <v>103393583</v>
      </c>
      <c r="AO37" s="240"/>
      <c r="AP37" s="302" t="s">
        <v>440</v>
      </c>
      <c r="AQ37" s="302">
        <v>6.44</v>
      </c>
      <c r="AR37" s="537" t="s">
        <v>148</v>
      </c>
    </row>
    <row r="38" spans="1:44" ht="22.5" customHeight="1" x14ac:dyDescent="0.15">
      <c r="A38">
        <v>33</v>
      </c>
      <c r="B38" s="328" t="s">
        <v>102</v>
      </c>
      <c r="C38" s="327" t="s">
        <v>429</v>
      </c>
      <c r="D38" s="328" t="s">
        <v>338</v>
      </c>
      <c r="E38" s="328" t="s">
        <v>345</v>
      </c>
      <c r="F38" s="240">
        <v>665922</v>
      </c>
      <c r="G38" s="240">
        <v>695809</v>
      </c>
      <c r="H38" s="240">
        <v>69486</v>
      </c>
      <c r="I38" s="283"/>
      <c r="J38" s="285">
        <v>0.1</v>
      </c>
      <c r="K38" s="284">
        <v>1431218</v>
      </c>
      <c r="L38" s="240">
        <v>71889417</v>
      </c>
      <c r="M38" s="240">
        <v>229203987</v>
      </c>
      <c r="N38" s="240">
        <v>45421506</v>
      </c>
      <c r="O38" s="240">
        <v>51344494</v>
      </c>
      <c r="P38" s="240">
        <v>117310923</v>
      </c>
      <c r="Q38" s="240">
        <v>-1220581</v>
      </c>
      <c r="R38" s="240">
        <v>280548481</v>
      </c>
      <c r="S38" s="240">
        <v>38657478</v>
      </c>
      <c r="T38" s="283"/>
      <c r="U38" s="288">
        <v>11.1</v>
      </c>
      <c r="V38" s="284">
        <v>435296302</v>
      </c>
      <c r="W38" s="240">
        <v>436727520</v>
      </c>
      <c r="X38" s="240">
        <v>145131320</v>
      </c>
      <c r="Y38" s="290">
        <v>33.229999999999997</v>
      </c>
      <c r="Z38" s="5" t="s">
        <v>365</v>
      </c>
      <c r="AA38" s="240">
        <v>7797</v>
      </c>
      <c r="AB38" s="4" t="s">
        <v>444</v>
      </c>
      <c r="AC38" s="240">
        <v>62</v>
      </c>
      <c r="AD38" s="4"/>
      <c r="AE38" s="240"/>
      <c r="AF38" s="4"/>
      <c r="AG38" s="240"/>
      <c r="AH38" s="240">
        <v>56012</v>
      </c>
      <c r="AI38" s="240">
        <v>7043992</v>
      </c>
      <c r="AJ38" s="240" t="s">
        <v>440</v>
      </c>
      <c r="AK38" s="240" t="s">
        <v>440</v>
      </c>
      <c r="AL38" s="240">
        <v>3</v>
      </c>
      <c r="AM38" s="240">
        <v>1196513</v>
      </c>
      <c r="AN38" s="240">
        <v>38993528</v>
      </c>
      <c r="AO38" s="240"/>
      <c r="AP38" s="302"/>
      <c r="AQ38" s="302">
        <v>26.73</v>
      </c>
      <c r="AR38" s="537" t="s">
        <v>149</v>
      </c>
    </row>
    <row r="39" spans="1:44" ht="22.5" customHeight="1" x14ac:dyDescent="0.15">
      <c r="A39">
        <v>34</v>
      </c>
      <c r="B39" s="328" t="s">
        <v>102</v>
      </c>
      <c r="C39" s="327" t="s">
        <v>431</v>
      </c>
      <c r="D39" s="328" t="s">
        <v>338</v>
      </c>
      <c r="E39" s="328" t="s">
        <v>345</v>
      </c>
      <c r="F39" s="240"/>
      <c r="G39" s="240"/>
      <c r="H39" s="240"/>
      <c r="I39" s="283"/>
      <c r="J39" s="286"/>
      <c r="K39" s="284"/>
      <c r="L39" s="240">
        <v>1817503105</v>
      </c>
      <c r="M39" s="240">
        <v>3090112096</v>
      </c>
      <c r="N39" s="240">
        <v>1280070813</v>
      </c>
      <c r="O39" s="240">
        <v>869761974</v>
      </c>
      <c r="P39" s="240">
        <v>3097573918</v>
      </c>
      <c r="Q39" s="240">
        <v>8020506</v>
      </c>
      <c r="R39" s="240">
        <v>3959874070</v>
      </c>
      <c r="S39" s="240">
        <v>2245947758</v>
      </c>
      <c r="T39" s="283">
        <v>38387900</v>
      </c>
      <c r="U39" s="296">
        <v>317</v>
      </c>
      <c r="V39" s="284">
        <v>9349804152</v>
      </c>
      <c r="W39" s="240">
        <v>9349804152</v>
      </c>
      <c r="X39" s="240">
        <v>1795232833</v>
      </c>
      <c r="Y39" s="290">
        <v>19.2</v>
      </c>
      <c r="Z39" s="5" t="s">
        <v>445</v>
      </c>
      <c r="AA39" s="240">
        <v>5099727</v>
      </c>
      <c r="AB39" s="4" t="s">
        <v>446</v>
      </c>
      <c r="AC39" s="240">
        <v>334</v>
      </c>
      <c r="AD39" s="4"/>
      <c r="AE39" s="240"/>
      <c r="AF39" s="4"/>
      <c r="AG39" s="240"/>
      <c r="AH39" s="240">
        <v>1833</v>
      </c>
      <c r="AI39" s="240">
        <v>27993425</v>
      </c>
      <c r="AJ39" s="240" t="s">
        <v>440</v>
      </c>
      <c r="AK39" s="240" t="s">
        <v>440</v>
      </c>
      <c r="AL39" s="240">
        <v>73</v>
      </c>
      <c r="AM39" s="240">
        <v>25615901</v>
      </c>
      <c r="AN39" s="240">
        <v>29494650</v>
      </c>
      <c r="AO39" s="240"/>
      <c r="AP39" s="302"/>
      <c r="AQ39" s="302">
        <v>33.22</v>
      </c>
      <c r="AR39" s="537" t="s">
        <v>149</v>
      </c>
    </row>
    <row r="40" spans="1:44" ht="22.5" customHeight="1" x14ac:dyDescent="0.15">
      <c r="A40">
        <v>35</v>
      </c>
      <c r="B40" s="328" t="s">
        <v>102</v>
      </c>
      <c r="C40" s="327" t="s">
        <v>435</v>
      </c>
      <c r="D40" s="328" t="s">
        <v>338</v>
      </c>
      <c r="E40" s="328" t="s">
        <v>345</v>
      </c>
      <c r="F40" s="240"/>
      <c r="G40" s="240"/>
      <c r="H40" s="240"/>
      <c r="I40" s="283"/>
      <c r="J40" s="285"/>
      <c r="K40" s="284"/>
      <c r="L40" s="240">
        <v>176887539</v>
      </c>
      <c r="M40" s="240">
        <v>55505472</v>
      </c>
      <c r="N40" s="240"/>
      <c r="O40" s="240"/>
      <c r="P40" s="240">
        <v>176887539</v>
      </c>
      <c r="Q40" s="240">
        <v>685447</v>
      </c>
      <c r="R40" s="240">
        <v>55505472</v>
      </c>
      <c r="S40" s="240">
        <v>41470296</v>
      </c>
      <c r="T40" s="283"/>
      <c r="U40" s="295">
        <v>23.8</v>
      </c>
      <c r="V40" s="284">
        <v>274548754</v>
      </c>
      <c r="W40" s="240">
        <v>274548754</v>
      </c>
      <c r="X40" s="240">
        <v>6073324</v>
      </c>
      <c r="Y40" s="290">
        <v>2.21</v>
      </c>
      <c r="Z40" s="293" t="s">
        <v>379</v>
      </c>
      <c r="AA40" s="240">
        <v>10</v>
      </c>
      <c r="AB40" s="4"/>
      <c r="AC40" s="240"/>
      <c r="AD40" s="4"/>
      <c r="AE40" s="240"/>
      <c r="AF40" s="4"/>
      <c r="AG40" s="240"/>
      <c r="AH40" s="240">
        <v>27454875</v>
      </c>
      <c r="AI40" s="240" t="s">
        <v>440</v>
      </c>
      <c r="AJ40" s="240" t="s">
        <v>440</v>
      </c>
      <c r="AK40" s="240" t="s">
        <v>440</v>
      </c>
      <c r="AL40" s="240">
        <v>2</v>
      </c>
      <c r="AM40" s="240">
        <v>752188</v>
      </c>
      <c r="AN40" s="240">
        <v>11535661</v>
      </c>
      <c r="AO40" s="240"/>
      <c r="AP40" s="302"/>
      <c r="AQ40" s="302">
        <v>64.680000000000007</v>
      </c>
      <c r="AR40" s="537" t="s">
        <v>149</v>
      </c>
    </row>
    <row r="41" spans="1:44" s="482" customFormat="1" ht="22.5" customHeight="1" x14ac:dyDescent="0.15">
      <c r="A41">
        <v>36</v>
      </c>
      <c r="B41" s="328" t="s">
        <v>102</v>
      </c>
      <c r="C41" s="327" t="s">
        <v>436</v>
      </c>
      <c r="D41" s="328" t="s">
        <v>338</v>
      </c>
      <c r="E41" s="328" t="s">
        <v>345</v>
      </c>
      <c r="F41" s="240"/>
      <c r="G41" s="240"/>
      <c r="H41" s="240"/>
      <c r="I41" s="283"/>
      <c r="J41" s="285"/>
      <c r="K41" s="284"/>
      <c r="L41" s="240">
        <v>151998994</v>
      </c>
      <c r="M41" s="240">
        <v>101948281</v>
      </c>
      <c r="N41" s="240"/>
      <c r="O41" s="240"/>
      <c r="P41" s="240">
        <v>151998994</v>
      </c>
      <c r="Q41" s="240">
        <v>397444</v>
      </c>
      <c r="R41" s="240">
        <v>101948281</v>
      </c>
      <c r="S41" s="240">
        <v>24045802</v>
      </c>
      <c r="T41" s="283"/>
      <c r="U41" s="288">
        <v>13.8</v>
      </c>
      <c r="V41" s="284">
        <v>278390521</v>
      </c>
      <c r="W41" s="240">
        <v>278390521</v>
      </c>
      <c r="X41" s="240"/>
      <c r="Y41" s="290"/>
      <c r="Z41" s="5" t="s">
        <v>447</v>
      </c>
      <c r="AA41" s="240">
        <v>7</v>
      </c>
      <c r="AB41" s="4"/>
      <c r="AC41" s="240"/>
      <c r="AD41" s="4"/>
      <c r="AE41" s="240"/>
      <c r="AF41" s="4"/>
      <c r="AG41" s="240"/>
      <c r="AH41" s="240">
        <v>39770074</v>
      </c>
      <c r="AI41" s="240" t="s">
        <v>440</v>
      </c>
      <c r="AJ41" s="240" t="s">
        <v>440</v>
      </c>
      <c r="AK41" s="240" t="s">
        <v>440</v>
      </c>
      <c r="AL41" s="240">
        <v>2</v>
      </c>
      <c r="AM41" s="240">
        <v>762713</v>
      </c>
      <c r="AN41" s="240">
        <v>20173226</v>
      </c>
      <c r="AO41" s="241"/>
      <c r="AP41" s="302"/>
      <c r="AQ41" s="302">
        <v>54.74</v>
      </c>
      <c r="AR41" s="537" t="s">
        <v>149</v>
      </c>
    </row>
    <row r="42" spans="1:44" ht="22.5" customHeight="1" x14ac:dyDescent="0.15">
      <c r="A42">
        <v>37</v>
      </c>
      <c r="B42" s="328" t="s">
        <v>102</v>
      </c>
      <c r="C42" s="327" t="s">
        <v>432</v>
      </c>
      <c r="D42" s="328" t="s">
        <v>338</v>
      </c>
      <c r="E42" s="328" t="s">
        <v>345</v>
      </c>
      <c r="F42" s="240"/>
      <c r="G42" s="240"/>
      <c r="H42" s="240"/>
      <c r="I42" s="283"/>
      <c r="J42" s="285"/>
      <c r="K42" s="284"/>
      <c r="L42" s="240">
        <v>2635179</v>
      </c>
      <c r="M42" s="240">
        <v>12570965</v>
      </c>
      <c r="N42" s="240">
        <v>1670427</v>
      </c>
      <c r="O42" s="240">
        <v>1363479</v>
      </c>
      <c r="P42" s="240">
        <v>4305607</v>
      </c>
      <c r="Q42" s="240"/>
      <c r="R42" s="240">
        <v>13934444</v>
      </c>
      <c r="S42" s="240"/>
      <c r="T42" s="283"/>
      <c r="U42" s="288">
        <v>0.5</v>
      </c>
      <c r="V42" s="284">
        <v>18240052</v>
      </c>
      <c r="W42" s="240">
        <v>18240052</v>
      </c>
      <c r="X42" s="240"/>
      <c r="Y42" s="290"/>
      <c r="Z42" s="293" t="s">
        <v>366</v>
      </c>
      <c r="AA42" s="240">
        <v>2</v>
      </c>
      <c r="AB42" s="4"/>
      <c r="AC42" s="240"/>
      <c r="AD42" s="4"/>
      <c r="AE42" s="240"/>
      <c r="AF42" s="4"/>
      <c r="AG42" s="240"/>
      <c r="AH42" s="240">
        <v>9120026</v>
      </c>
      <c r="AI42" s="240" t="s">
        <v>440</v>
      </c>
      <c r="AJ42" s="240" t="s">
        <v>440</v>
      </c>
      <c r="AK42" s="240" t="s">
        <v>440</v>
      </c>
      <c r="AL42" s="310">
        <v>0.1</v>
      </c>
      <c r="AM42" s="240">
        <v>49972</v>
      </c>
      <c r="AN42" s="240"/>
      <c r="AO42" s="241"/>
      <c r="AP42" s="302"/>
      <c r="AQ42" s="302">
        <v>23.61</v>
      </c>
      <c r="AR42" s="537" t="s">
        <v>149</v>
      </c>
    </row>
    <row r="43" spans="1:44" ht="22.5" customHeight="1" x14ac:dyDescent="0.15">
      <c r="A43">
        <v>38</v>
      </c>
      <c r="B43" s="351" t="s">
        <v>102</v>
      </c>
      <c r="C43" s="351" t="s">
        <v>433</v>
      </c>
      <c r="D43" s="351" t="s">
        <v>338</v>
      </c>
      <c r="E43" s="351" t="s">
        <v>345</v>
      </c>
      <c r="F43" s="298">
        <v>166480611</v>
      </c>
      <c r="G43" s="298">
        <v>215677734</v>
      </c>
      <c r="H43" s="298">
        <v>22275471</v>
      </c>
      <c r="I43" s="483"/>
      <c r="J43" s="484">
        <v>25</v>
      </c>
      <c r="K43" s="485">
        <v>404433817</v>
      </c>
      <c r="L43" s="298">
        <v>1505098278651</v>
      </c>
      <c r="M43" s="298">
        <v>1488089842415</v>
      </c>
      <c r="N43" s="298">
        <v>0</v>
      </c>
      <c r="O43" s="298">
        <v>112408610412</v>
      </c>
      <c r="P43" s="298">
        <v>1505098278651</v>
      </c>
      <c r="Q43" s="298">
        <v>746035781</v>
      </c>
      <c r="R43" s="298">
        <v>1600498452827</v>
      </c>
      <c r="S43" s="298">
        <v>144309897706</v>
      </c>
      <c r="T43" s="483">
        <v>-16527570938</v>
      </c>
      <c r="U43" s="285">
        <v>277211</v>
      </c>
      <c r="V43" s="485">
        <v>3234125094027</v>
      </c>
      <c r="W43" s="298">
        <v>3234529527844</v>
      </c>
      <c r="X43" s="298">
        <v>1891884052188</v>
      </c>
      <c r="Y43" s="487">
        <v>58.49</v>
      </c>
      <c r="Z43" s="488"/>
      <c r="AA43" s="298"/>
      <c r="AB43" s="489"/>
      <c r="AC43" s="298"/>
      <c r="AD43" s="489"/>
      <c r="AE43" s="298"/>
      <c r="AF43" s="489"/>
      <c r="AG43" s="298"/>
      <c r="AH43" s="298" t="s">
        <v>440</v>
      </c>
      <c r="AI43" s="298" t="s">
        <v>440</v>
      </c>
      <c r="AJ43" s="298" t="s">
        <v>440</v>
      </c>
      <c r="AK43" s="298" t="s">
        <v>440</v>
      </c>
      <c r="AL43" s="298">
        <v>25527</v>
      </c>
      <c r="AM43" s="298">
        <v>8861724733</v>
      </c>
      <c r="AN43" s="298">
        <v>11667061</v>
      </c>
      <c r="AO43" s="492"/>
      <c r="AP43" s="493"/>
      <c r="AQ43" s="493">
        <v>46.56</v>
      </c>
      <c r="AR43" s="491" t="s">
        <v>149</v>
      </c>
    </row>
    <row r="44" spans="1:44" ht="22.5" customHeight="1" x14ac:dyDescent="0.15">
      <c r="A44">
        <v>39</v>
      </c>
      <c r="B44" s="328" t="s">
        <v>102</v>
      </c>
      <c r="C44" s="327" t="s">
        <v>438</v>
      </c>
      <c r="D44" s="328" t="s">
        <v>338</v>
      </c>
      <c r="E44" s="328" t="s">
        <v>345</v>
      </c>
      <c r="F44" s="240">
        <v>399553</v>
      </c>
      <c r="G44" s="240">
        <v>489281</v>
      </c>
      <c r="H44" s="240">
        <v>64138</v>
      </c>
      <c r="I44" s="283"/>
      <c r="J44" s="287">
        <v>0.06</v>
      </c>
      <c r="K44" s="284">
        <v>952973</v>
      </c>
      <c r="L44" s="240">
        <v>247941167</v>
      </c>
      <c r="M44" s="240">
        <v>5440778627</v>
      </c>
      <c r="N44" s="240">
        <v>14934916</v>
      </c>
      <c r="O44" s="240">
        <v>21040334</v>
      </c>
      <c r="P44" s="240">
        <v>262876083</v>
      </c>
      <c r="Q44" s="240"/>
      <c r="R44" s="240">
        <v>5461818961</v>
      </c>
      <c r="S44" s="240">
        <v>74917443</v>
      </c>
      <c r="T44" s="283"/>
      <c r="U44" s="288">
        <v>32.6</v>
      </c>
      <c r="V44" s="284">
        <v>5799612488</v>
      </c>
      <c r="W44" s="240">
        <v>5800565462</v>
      </c>
      <c r="X44" s="240"/>
      <c r="Y44" s="290"/>
      <c r="Z44" s="494" t="s">
        <v>477</v>
      </c>
      <c r="AA44" s="240">
        <v>1219</v>
      </c>
      <c r="AB44" s="497" t="s">
        <v>478</v>
      </c>
      <c r="AC44" s="240">
        <v>6281</v>
      </c>
      <c r="AD44" s="4"/>
      <c r="AE44" s="240"/>
      <c r="AF44" s="4"/>
      <c r="AG44" s="240"/>
      <c r="AH44" s="240">
        <v>4758462</v>
      </c>
      <c r="AI44" s="240">
        <v>923509</v>
      </c>
      <c r="AJ44" s="240" t="s">
        <v>440</v>
      </c>
      <c r="AK44" s="240" t="s">
        <v>440</v>
      </c>
      <c r="AL44" s="240">
        <v>45</v>
      </c>
      <c r="AM44" s="240">
        <v>15891960</v>
      </c>
      <c r="AN44" s="240">
        <v>177604576</v>
      </c>
      <c r="AO44" s="240"/>
      <c r="AP44" s="302"/>
      <c r="AQ44" s="302">
        <v>4.54</v>
      </c>
      <c r="AR44" s="537" t="s">
        <v>149</v>
      </c>
    </row>
    <row r="45" spans="1:44" ht="22.5" customHeight="1" x14ac:dyDescent="0.15">
      <c r="A45">
        <v>40</v>
      </c>
      <c r="B45" s="328" t="s">
        <v>102</v>
      </c>
      <c r="C45" s="327" t="s">
        <v>462</v>
      </c>
      <c r="D45" s="328" t="s">
        <v>338</v>
      </c>
      <c r="E45" s="328" t="s">
        <v>345</v>
      </c>
      <c r="F45" s="240">
        <v>599330</v>
      </c>
      <c r="G45" s="240">
        <v>733922</v>
      </c>
      <c r="H45" s="240">
        <v>96207</v>
      </c>
      <c r="I45" s="283"/>
      <c r="J45" s="287">
        <v>0.09</v>
      </c>
      <c r="K45" s="284">
        <v>1429460</v>
      </c>
      <c r="L45" s="240">
        <v>22457534</v>
      </c>
      <c r="M45" s="240">
        <v>8095898635</v>
      </c>
      <c r="N45" s="240">
        <v>1740879</v>
      </c>
      <c r="O45" s="240">
        <v>2452554</v>
      </c>
      <c r="P45" s="240">
        <v>24198413</v>
      </c>
      <c r="Q45" s="240"/>
      <c r="R45" s="240">
        <v>8098351189</v>
      </c>
      <c r="S45" s="240">
        <v>8732708</v>
      </c>
      <c r="T45" s="283"/>
      <c r="U45" s="288">
        <v>3.8</v>
      </c>
      <c r="V45" s="284">
        <v>8131282311</v>
      </c>
      <c r="W45" s="240">
        <v>8132711771</v>
      </c>
      <c r="X45" s="240">
        <v>298771500</v>
      </c>
      <c r="Y45" s="290">
        <v>3.67</v>
      </c>
      <c r="Z45" s="5" t="s">
        <v>477</v>
      </c>
      <c r="AA45" s="240">
        <v>17607</v>
      </c>
      <c r="AB45" s="498" t="s">
        <v>478</v>
      </c>
      <c r="AC45" s="240">
        <v>5282</v>
      </c>
      <c r="AD45" s="4"/>
      <c r="AE45" s="240"/>
      <c r="AF45" s="4"/>
      <c r="AG45" s="240"/>
      <c r="AH45" s="240">
        <v>461902</v>
      </c>
      <c r="AI45" s="240">
        <v>1539703</v>
      </c>
      <c r="AJ45" s="240" t="s">
        <v>440</v>
      </c>
      <c r="AK45" s="240" t="s">
        <v>440</v>
      </c>
      <c r="AL45" s="240">
        <v>64</v>
      </c>
      <c r="AM45" s="240">
        <v>22281402</v>
      </c>
      <c r="AN45" s="240">
        <v>2090671406</v>
      </c>
      <c r="AO45" s="241"/>
      <c r="AP45" s="302"/>
      <c r="AQ45" s="302">
        <v>0.3</v>
      </c>
      <c r="AR45" s="537" t="s">
        <v>149</v>
      </c>
    </row>
    <row r="46" spans="1:44" ht="22.5" customHeight="1" x14ac:dyDescent="0.15">
      <c r="A46">
        <v>41</v>
      </c>
      <c r="B46" s="328" t="s">
        <v>102</v>
      </c>
      <c r="C46" s="327" t="s">
        <v>352</v>
      </c>
      <c r="D46" s="328" t="s">
        <v>338</v>
      </c>
      <c r="E46" s="328" t="s">
        <v>345</v>
      </c>
      <c r="F46" s="240">
        <v>1331844</v>
      </c>
      <c r="G46" s="240">
        <v>846223</v>
      </c>
      <c r="H46" s="240">
        <v>484552</v>
      </c>
      <c r="I46" s="283"/>
      <c r="J46" s="285">
        <v>0.2</v>
      </c>
      <c r="K46" s="284">
        <v>2662620</v>
      </c>
      <c r="L46" s="240">
        <v>348717822</v>
      </c>
      <c r="M46" s="240">
        <v>1267501067</v>
      </c>
      <c r="N46" s="240">
        <v>137674077</v>
      </c>
      <c r="O46" s="240">
        <v>201252145</v>
      </c>
      <c r="P46" s="240">
        <v>486391899</v>
      </c>
      <c r="Q46" s="240">
        <v>794473</v>
      </c>
      <c r="R46" s="240">
        <v>1468753212</v>
      </c>
      <c r="S46" s="240">
        <v>171117396</v>
      </c>
      <c r="T46" s="283">
        <v>99472</v>
      </c>
      <c r="U46" s="288">
        <v>30.5</v>
      </c>
      <c r="V46" s="284">
        <v>2127156453</v>
      </c>
      <c r="W46" s="240">
        <v>2129819074</v>
      </c>
      <c r="X46" s="240">
        <v>1481968745</v>
      </c>
      <c r="Y46" s="290">
        <v>69.58</v>
      </c>
      <c r="Z46" s="291" t="s">
        <v>448</v>
      </c>
      <c r="AA46" s="240">
        <v>4907032</v>
      </c>
      <c r="AB46" s="4" t="s">
        <v>449</v>
      </c>
      <c r="AC46" s="240">
        <v>3279</v>
      </c>
      <c r="AD46" s="4"/>
      <c r="AE46" s="240"/>
      <c r="AF46" s="4"/>
      <c r="AG46" s="240"/>
      <c r="AH46" s="240">
        <v>434</v>
      </c>
      <c r="AI46" s="240">
        <v>649533</v>
      </c>
      <c r="AJ46" s="240" t="s">
        <v>440</v>
      </c>
      <c r="AK46" s="240" t="s">
        <v>440</v>
      </c>
      <c r="AL46" s="240">
        <v>16</v>
      </c>
      <c r="AM46" s="240">
        <v>5835120</v>
      </c>
      <c r="AN46" s="240">
        <v>69375214</v>
      </c>
      <c r="AO46" s="240"/>
      <c r="AP46" s="302"/>
      <c r="AQ46" s="302">
        <v>22.94</v>
      </c>
      <c r="AR46" s="537" t="s">
        <v>149</v>
      </c>
    </row>
    <row r="47" spans="1:44" ht="23.25" customHeight="1" x14ac:dyDescent="0.15">
      <c r="A47">
        <v>42</v>
      </c>
      <c r="B47" s="328" t="s">
        <v>102</v>
      </c>
      <c r="C47" s="327" t="s">
        <v>353</v>
      </c>
      <c r="D47" s="328" t="s">
        <v>338</v>
      </c>
      <c r="E47" s="328" t="s">
        <v>345</v>
      </c>
      <c r="F47" s="240">
        <v>2663689</v>
      </c>
      <c r="G47" s="240">
        <v>1692446</v>
      </c>
      <c r="H47" s="240">
        <v>969105</v>
      </c>
      <c r="I47" s="283"/>
      <c r="J47" s="285">
        <v>0.4</v>
      </c>
      <c r="K47" s="284">
        <v>5325240</v>
      </c>
      <c r="L47" s="240">
        <v>997378477</v>
      </c>
      <c r="M47" s="240">
        <v>2288165284</v>
      </c>
      <c r="N47" s="240">
        <v>216167760</v>
      </c>
      <c r="O47" s="240">
        <v>159212034</v>
      </c>
      <c r="P47" s="240">
        <v>1213546237</v>
      </c>
      <c r="Q47" s="240">
        <v>1821726</v>
      </c>
      <c r="R47" s="240">
        <v>2447377319</v>
      </c>
      <c r="S47" s="240">
        <v>744448139</v>
      </c>
      <c r="T47" s="283">
        <v>173954</v>
      </c>
      <c r="U47" s="288">
        <v>78</v>
      </c>
      <c r="V47" s="284">
        <v>4407367377</v>
      </c>
      <c r="W47" s="240">
        <v>4412692618</v>
      </c>
      <c r="X47" s="240">
        <v>1738676239</v>
      </c>
      <c r="Y47" s="290">
        <v>39.4</v>
      </c>
      <c r="Z47" s="5" t="s">
        <v>448</v>
      </c>
      <c r="AA47" s="240">
        <v>4875133</v>
      </c>
      <c r="AB47" s="4" t="s">
        <v>367</v>
      </c>
      <c r="AC47" s="240">
        <v>336</v>
      </c>
      <c r="AD47" s="4"/>
      <c r="AE47" s="240"/>
      <c r="AF47" s="4"/>
      <c r="AG47" s="240"/>
      <c r="AH47" s="240">
        <v>905</v>
      </c>
      <c r="AI47" s="240">
        <v>13133013</v>
      </c>
      <c r="AJ47" s="240" t="s">
        <v>440</v>
      </c>
      <c r="AK47" s="240" t="s">
        <v>440</v>
      </c>
      <c r="AL47" s="240">
        <v>34</v>
      </c>
      <c r="AM47" s="240">
        <v>12089568</v>
      </c>
      <c r="AN47" s="240">
        <v>56284344</v>
      </c>
      <c r="AO47" s="240"/>
      <c r="AP47" s="302"/>
      <c r="AQ47" s="302">
        <v>27.6</v>
      </c>
      <c r="AR47" s="537" t="s">
        <v>149</v>
      </c>
    </row>
    <row r="48" spans="1:44" ht="22.5" customHeight="1" x14ac:dyDescent="0.15">
      <c r="A48">
        <v>43</v>
      </c>
      <c r="B48" s="323" t="s">
        <v>102</v>
      </c>
      <c r="C48" s="324" t="s">
        <v>103</v>
      </c>
      <c r="D48" s="325" t="s">
        <v>87</v>
      </c>
      <c r="E48" s="326" t="s">
        <v>38</v>
      </c>
      <c r="F48" s="240">
        <v>13318448</v>
      </c>
      <c r="G48" s="240">
        <v>14155592</v>
      </c>
      <c r="H48" s="240">
        <v>1462007</v>
      </c>
      <c r="I48" s="283"/>
      <c r="J48" s="285">
        <v>2</v>
      </c>
      <c r="K48" s="284">
        <v>28936049</v>
      </c>
      <c r="L48" s="240">
        <v>2326650158</v>
      </c>
      <c r="M48" s="240">
        <v>68578566504</v>
      </c>
      <c r="N48" s="240">
        <v>595309685</v>
      </c>
      <c r="O48" s="240">
        <v>684414885</v>
      </c>
      <c r="P48" s="240">
        <v>2921959843</v>
      </c>
      <c r="Q48" s="240">
        <v>18221136</v>
      </c>
      <c r="R48" s="240">
        <v>69262981389</v>
      </c>
      <c r="S48" s="240"/>
      <c r="T48" s="283">
        <v>2704734</v>
      </c>
      <c r="U48" s="288">
        <v>315.7</v>
      </c>
      <c r="V48" s="284">
        <v>72205867103</v>
      </c>
      <c r="W48" s="240">
        <v>72234803152</v>
      </c>
      <c r="X48" s="240">
        <v>41471509836</v>
      </c>
      <c r="Y48" s="290">
        <v>57.41</v>
      </c>
      <c r="Z48" s="5" t="s">
        <v>242</v>
      </c>
      <c r="AA48" s="240">
        <v>5823274</v>
      </c>
      <c r="AB48" s="4"/>
      <c r="AC48" s="240"/>
      <c r="AD48" s="4"/>
      <c r="AE48" s="240"/>
      <c r="AF48" s="4"/>
      <c r="AG48" s="240"/>
      <c r="AH48" s="240">
        <v>12404</v>
      </c>
      <c r="AI48" s="240"/>
      <c r="AJ48" s="240"/>
      <c r="AK48" s="240"/>
      <c r="AL48" s="240">
        <v>570</v>
      </c>
      <c r="AM48" s="240">
        <v>197903570</v>
      </c>
      <c r="AN48" s="240">
        <v>227367967</v>
      </c>
      <c r="AO48" s="241">
        <v>1805603589823</v>
      </c>
      <c r="AP48" s="302">
        <v>4</v>
      </c>
      <c r="AQ48" s="302">
        <v>4.09</v>
      </c>
      <c r="AR48" s="537" t="s">
        <v>151</v>
      </c>
    </row>
    <row r="49" spans="1:44" ht="22.5" customHeight="1" x14ac:dyDescent="0.15">
      <c r="A49">
        <v>44</v>
      </c>
      <c r="B49" s="323" t="s">
        <v>104</v>
      </c>
      <c r="C49" s="324" t="s">
        <v>105</v>
      </c>
      <c r="D49" s="325" t="s">
        <v>35</v>
      </c>
      <c r="E49" s="326" t="s">
        <v>36</v>
      </c>
      <c r="F49" s="240">
        <v>2150929498</v>
      </c>
      <c r="G49" s="240">
        <v>27190368</v>
      </c>
      <c r="H49" s="240">
        <v>77640332</v>
      </c>
      <c r="I49" s="283">
        <v>666336179</v>
      </c>
      <c r="J49" s="285">
        <v>323</v>
      </c>
      <c r="K49" s="284">
        <v>2922096378</v>
      </c>
      <c r="L49" s="240"/>
      <c r="M49" s="240"/>
      <c r="N49" s="240"/>
      <c r="O49" s="240"/>
      <c r="P49" s="240"/>
      <c r="Q49" s="240"/>
      <c r="R49" s="240"/>
      <c r="S49" s="240"/>
      <c r="T49" s="283"/>
      <c r="U49" s="288"/>
      <c r="V49" s="284"/>
      <c r="W49" s="240">
        <v>2922096378</v>
      </c>
      <c r="X49" s="240">
        <v>203657985</v>
      </c>
      <c r="Y49" s="290">
        <v>6.97</v>
      </c>
      <c r="Z49" s="297" t="s">
        <v>243</v>
      </c>
      <c r="AA49" s="240">
        <v>55036122</v>
      </c>
      <c r="AB49" s="4"/>
      <c r="AC49" s="240"/>
      <c r="AD49" s="4"/>
      <c r="AE49" s="240"/>
      <c r="AF49" s="4"/>
      <c r="AG49" s="240"/>
      <c r="AH49" s="240">
        <v>53</v>
      </c>
      <c r="AI49" s="240"/>
      <c r="AJ49" s="240"/>
      <c r="AK49" s="240"/>
      <c r="AL49" s="240">
        <v>23</v>
      </c>
      <c r="AM49" s="240">
        <v>8005743</v>
      </c>
      <c r="AN49" s="240">
        <v>9046738</v>
      </c>
      <c r="AO49" s="241"/>
      <c r="AP49" s="302" t="s">
        <v>440</v>
      </c>
      <c r="AQ49" s="302">
        <v>73.61</v>
      </c>
      <c r="AR49" s="537" t="s">
        <v>148</v>
      </c>
    </row>
    <row r="50" spans="1:44" ht="22.5" customHeight="1" x14ac:dyDescent="0.15">
      <c r="A50">
        <v>45</v>
      </c>
      <c r="B50" s="328" t="s">
        <v>104</v>
      </c>
      <c r="C50" s="327" t="s">
        <v>351</v>
      </c>
      <c r="D50" s="328" t="s">
        <v>338</v>
      </c>
      <c r="E50" s="328" t="s">
        <v>339</v>
      </c>
      <c r="F50" s="240">
        <v>13984371</v>
      </c>
      <c r="G50" s="240">
        <v>1207342</v>
      </c>
      <c r="H50" s="240">
        <v>3447487</v>
      </c>
      <c r="I50" s="283">
        <v>114313653</v>
      </c>
      <c r="J50" s="285">
        <v>2.1</v>
      </c>
      <c r="K50" s="284">
        <v>132952853</v>
      </c>
      <c r="L50" s="240"/>
      <c r="M50" s="240"/>
      <c r="N50" s="240"/>
      <c r="O50" s="240"/>
      <c r="P50" s="240"/>
      <c r="Q50" s="240"/>
      <c r="R50" s="240"/>
      <c r="S50" s="240"/>
      <c r="T50" s="283"/>
      <c r="U50" s="288"/>
      <c r="V50" s="284"/>
      <c r="W50" s="240">
        <v>132952853</v>
      </c>
      <c r="X50" s="240">
        <v>101156800</v>
      </c>
      <c r="Y50" s="290">
        <v>76.08</v>
      </c>
      <c r="Z50" s="327" t="s">
        <v>486</v>
      </c>
      <c r="AA50" s="240">
        <v>14876</v>
      </c>
      <c r="AB50" s="4" t="s">
        <v>374</v>
      </c>
      <c r="AC50" s="240">
        <v>13579</v>
      </c>
      <c r="AD50" s="4"/>
      <c r="AE50" s="240"/>
      <c r="AF50" s="4"/>
      <c r="AG50" s="240"/>
      <c r="AH50" s="240">
        <v>8937</v>
      </c>
      <c r="AI50" s="240">
        <v>9791</v>
      </c>
      <c r="AJ50" s="240" t="s">
        <v>440</v>
      </c>
      <c r="AK50" s="240" t="s">
        <v>440</v>
      </c>
      <c r="AL50" s="240">
        <v>1</v>
      </c>
      <c r="AM50" s="240">
        <v>364254</v>
      </c>
      <c r="AN50" s="240">
        <v>63310882</v>
      </c>
      <c r="AO50" s="241"/>
      <c r="AP50" s="302"/>
      <c r="AQ50" s="302">
        <v>10.52</v>
      </c>
      <c r="AR50" s="537" t="s">
        <v>148</v>
      </c>
    </row>
    <row r="51" spans="1:44" ht="22.5" customHeight="1" x14ac:dyDescent="0.15">
      <c r="A51">
        <v>46</v>
      </c>
      <c r="B51" s="323" t="s">
        <v>104</v>
      </c>
      <c r="C51" s="324" t="s">
        <v>225</v>
      </c>
      <c r="D51" s="325" t="s">
        <v>35</v>
      </c>
      <c r="E51" s="326" t="s">
        <v>36</v>
      </c>
      <c r="F51" s="240">
        <v>1331844</v>
      </c>
      <c r="G51" s="240">
        <v>86795</v>
      </c>
      <c r="H51" s="240">
        <v>247838</v>
      </c>
      <c r="I51" s="283">
        <v>55210923</v>
      </c>
      <c r="J51" s="285">
        <v>0.2</v>
      </c>
      <c r="K51" s="284">
        <v>56877401</v>
      </c>
      <c r="L51" s="240"/>
      <c r="M51" s="240"/>
      <c r="N51" s="240"/>
      <c r="O51" s="240"/>
      <c r="P51" s="240"/>
      <c r="Q51" s="240"/>
      <c r="R51" s="240"/>
      <c r="S51" s="240"/>
      <c r="T51" s="283"/>
      <c r="U51" s="288"/>
      <c r="V51" s="284"/>
      <c r="W51" s="240">
        <v>56877401</v>
      </c>
      <c r="X51" s="240"/>
      <c r="Y51" s="290" t="s">
        <v>440</v>
      </c>
      <c r="Z51" s="294" t="s">
        <v>244</v>
      </c>
      <c r="AA51" s="240">
        <v>7780</v>
      </c>
      <c r="AB51" s="299"/>
      <c r="AC51" s="240"/>
      <c r="AD51" s="4"/>
      <c r="AE51" s="240"/>
      <c r="AF51" s="4"/>
      <c r="AG51" s="240"/>
      <c r="AH51" s="240">
        <v>7310</v>
      </c>
      <c r="AI51" s="240"/>
      <c r="AJ51" s="240"/>
      <c r="AK51" s="240"/>
      <c r="AL51" s="310">
        <v>0.4</v>
      </c>
      <c r="AM51" s="240">
        <v>155828</v>
      </c>
      <c r="AN51" s="240"/>
      <c r="AO51" s="241"/>
      <c r="AP51" s="302" t="s">
        <v>440</v>
      </c>
      <c r="AQ51" s="302">
        <v>2.34</v>
      </c>
      <c r="AR51" s="537" t="s">
        <v>148</v>
      </c>
    </row>
    <row r="52" spans="1:44" ht="22.5" customHeight="1" x14ac:dyDescent="0.15">
      <c r="A52">
        <v>47</v>
      </c>
      <c r="B52" s="323" t="s">
        <v>104</v>
      </c>
      <c r="C52" s="324" t="s">
        <v>193</v>
      </c>
      <c r="D52" s="325" t="s">
        <v>35</v>
      </c>
      <c r="E52" s="326" t="s">
        <v>38</v>
      </c>
      <c r="F52" s="240"/>
      <c r="G52" s="240"/>
      <c r="H52" s="240"/>
      <c r="I52" s="283"/>
      <c r="J52" s="285"/>
      <c r="K52" s="284"/>
      <c r="L52" s="240">
        <v>632893104</v>
      </c>
      <c r="M52" s="240">
        <v>224236740</v>
      </c>
      <c r="N52" s="240"/>
      <c r="O52" s="240"/>
      <c r="P52" s="240">
        <v>632893104</v>
      </c>
      <c r="Q52" s="240"/>
      <c r="R52" s="240">
        <v>224236740</v>
      </c>
      <c r="S52" s="240">
        <v>141402896</v>
      </c>
      <c r="T52" s="283"/>
      <c r="U52" s="288">
        <v>73</v>
      </c>
      <c r="V52" s="284">
        <v>998532740</v>
      </c>
      <c r="W52" s="240">
        <v>998532740</v>
      </c>
      <c r="X52" s="240">
        <v>291746145</v>
      </c>
      <c r="Y52" s="290">
        <v>29.22</v>
      </c>
      <c r="Z52" s="5" t="s">
        <v>245</v>
      </c>
      <c r="AA52" s="240">
        <v>440</v>
      </c>
      <c r="AB52" s="4"/>
      <c r="AC52" s="240"/>
      <c r="AD52" s="4"/>
      <c r="AE52" s="240"/>
      <c r="AF52" s="4"/>
      <c r="AG52" s="240"/>
      <c r="AH52" s="240">
        <v>2269392</v>
      </c>
      <c r="AI52" s="240"/>
      <c r="AJ52" s="240"/>
      <c r="AK52" s="240"/>
      <c r="AL52" s="240">
        <v>7</v>
      </c>
      <c r="AM52" s="240">
        <v>2735706</v>
      </c>
      <c r="AN52" s="240">
        <v>13678530</v>
      </c>
      <c r="AO52" s="241"/>
      <c r="AP52" s="302" t="s">
        <v>440</v>
      </c>
      <c r="AQ52" s="302">
        <v>63.38</v>
      </c>
      <c r="AR52" s="537" t="s">
        <v>149</v>
      </c>
    </row>
    <row r="53" spans="1:44" ht="22.5" customHeight="1" x14ac:dyDescent="0.15">
      <c r="A53">
        <v>48</v>
      </c>
      <c r="B53" s="323" t="s">
        <v>104</v>
      </c>
      <c r="C53" s="324" t="s">
        <v>108</v>
      </c>
      <c r="D53" s="325" t="s">
        <v>35</v>
      </c>
      <c r="E53" s="326" t="s">
        <v>38</v>
      </c>
      <c r="F53" s="240">
        <v>10654759</v>
      </c>
      <c r="G53" s="240">
        <v>1027685</v>
      </c>
      <c r="H53" s="240">
        <v>2934490</v>
      </c>
      <c r="I53" s="283"/>
      <c r="J53" s="285">
        <v>1.6</v>
      </c>
      <c r="K53" s="284">
        <v>14616935</v>
      </c>
      <c r="L53" s="240">
        <v>565374257</v>
      </c>
      <c r="M53" s="240">
        <v>836951915</v>
      </c>
      <c r="N53" s="240">
        <v>17368305</v>
      </c>
      <c r="O53" s="240">
        <v>23311135</v>
      </c>
      <c r="P53" s="240">
        <v>582742562</v>
      </c>
      <c r="Q53" s="240"/>
      <c r="R53" s="240">
        <v>860263050</v>
      </c>
      <c r="S53" s="240"/>
      <c r="T53" s="283"/>
      <c r="U53" s="288">
        <v>76</v>
      </c>
      <c r="V53" s="284">
        <v>1443005612</v>
      </c>
      <c r="W53" s="240">
        <v>1457622548</v>
      </c>
      <c r="X53" s="240">
        <v>991542492</v>
      </c>
      <c r="Y53" s="290">
        <v>68.02</v>
      </c>
      <c r="Z53" s="293" t="s">
        <v>246</v>
      </c>
      <c r="AA53" s="240">
        <v>1241</v>
      </c>
      <c r="AB53" s="4"/>
      <c r="AC53" s="240"/>
      <c r="AD53" s="4"/>
      <c r="AE53" s="240"/>
      <c r="AF53" s="4"/>
      <c r="AG53" s="240"/>
      <c r="AH53" s="240">
        <v>1174554</v>
      </c>
      <c r="AI53" s="240"/>
      <c r="AJ53" s="240"/>
      <c r="AK53" s="240"/>
      <c r="AL53" s="240">
        <v>11</v>
      </c>
      <c r="AM53" s="240">
        <v>3993486</v>
      </c>
      <c r="AN53" s="240">
        <v>18783795</v>
      </c>
      <c r="AO53" s="240"/>
      <c r="AP53" s="302" t="s">
        <v>440</v>
      </c>
      <c r="AQ53" s="302">
        <v>40.71</v>
      </c>
      <c r="AR53" s="537" t="s">
        <v>149</v>
      </c>
    </row>
    <row r="54" spans="1:44" ht="22.5" customHeight="1" x14ac:dyDescent="0.15">
      <c r="A54">
        <v>49</v>
      </c>
      <c r="B54" s="323" t="s">
        <v>104</v>
      </c>
      <c r="C54" s="324" t="s">
        <v>106</v>
      </c>
      <c r="D54" s="325" t="s">
        <v>87</v>
      </c>
      <c r="E54" s="326" t="s">
        <v>36</v>
      </c>
      <c r="F54" s="240">
        <v>12599252667</v>
      </c>
      <c r="G54" s="240">
        <v>-21160508</v>
      </c>
      <c r="H54" s="240">
        <v>1537895111</v>
      </c>
      <c r="I54" s="283">
        <v>24403947070</v>
      </c>
      <c r="J54" s="285">
        <v>1892</v>
      </c>
      <c r="K54" s="284">
        <v>38519934340</v>
      </c>
      <c r="L54" s="240"/>
      <c r="M54" s="240"/>
      <c r="N54" s="240"/>
      <c r="O54" s="240"/>
      <c r="P54" s="240"/>
      <c r="Q54" s="240"/>
      <c r="R54" s="240"/>
      <c r="S54" s="240"/>
      <c r="T54" s="283"/>
      <c r="U54" s="288"/>
      <c r="V54" s="284"/>
      <c r="W54" s="240">
        <v>38519934340</v>
      </c>
      <c r="X54" s="240"/>
      <c r="Y54" s="290" t="s">
        <v>440</v>
      </c>
      <c r="Z54" s="293" t="s">
        <v>247</v>
      </c>
      <c r="AA54" s="240">
        <v>5568691</v>
      </c>
      <c r="AB54" s="4"/>
      <c r="AC54" s="240"/>
      <c r="AD54" s="4"/>
      <c r="AE54" s="240"/>
      <c r="AF54" s="4"/>
      <c r="AG54" s="240"/>
      <c r="AH54" s="240">
        <v>6917</v>
      </c>
      <c r="AI54" s="240"/>
      <c r="AJ54" s="240"/>
      <c r="AK54" s="240"/>
      <c r="AL54" s="240">
        <v>304</v>
      </c>
      <c r="AM54" s="240">
        <v>105534066</v>
      </c>
      <c r="AN54" s="240">
        <v>20359373</v>
      </c>
      <c r="AO54" s="241">
        <v>737931555924</v>
      </c>
      <c r="AP54" s="302">
        <v>5.22</v>
      </c>
      <c r="AQ54" s="302">
        <v>32.71</v>
      </c>
      <c r="AR54" s="537" t="s">
        <v>150</v>
      </c>
    </row>
    <row r="55" spans="1:44" ht="22.5" customHeight="1" x14ac:dyDescent="0.15">
      <c r="A55">
        <v>50</v>
      </c>
      <c r="B55" s="323" t="s">
        <v>104</v>
      </c>
      <c r="C55" s="324" t="s">
        <v>107</v>
      </c>
      <c r="D55" s="325" t="s">
        <v>87</v>
      </c>
      <c r="E55" s="326" t="s">
        <v>36</v>
      </c>
      <c r="F55" s="240">
        <v>14174159251</v>
      </c>
      <c r="G55" s="240">
        <v>432282642</v>
      </c>
      <c r="H55" s="240">
        <v>1078693200</v>
      </c>
      <c r="I55" s="283">
        <v>30267573961</v>
      </c>
      <c r="J55" s="285">
        <v>2128.5</v>
      </c>
      <c r="K55" s="284">
        <v>45952709055</v>
      </c>
      <c r="L55" s="240"/>
      <c r="M55" s="240"/>
      <c r="N55" s="240"/>
      <c r="O55" s="240"/>
      <c r="P55" s="240"/>
      <c r="Q55" s="240"/>
      <c r="R55" s="240"/>
      <c r="S55" s="240"/>
      <c r="T55" s="283"/>
      <c r="U55" s="288"/>
      <c r="V55" s="284"/>
      <c r="W55" s="240">
        <v>45952709055</v>
      </c>
      <c r="X55" s="240"/>
      <c r="Y55" s="290" t="s">
        <v>440</v>
      </c>
      <c r="Z55" s="293" t="s">
        <v>248</v>
      </c>
      <c r="AA55" s="240">
        <v>42831.946000000004</v>
      </c>
      <c r="AB55" s="4"/>
      <c r="AC55" s="240"/>
      <c r="AD55" s="4"/>
      <c r="AE55" s="240"/>
      <c r="AF55" s="4"/>
      <c r="AG55" s="240"/>
      <c r="AH55" s="240">
        <v>1072</v>
      </c>
      <c r="AI55" s="240"/>
      <c r="AJ55" s="240"/>
      <c r="AK55" s="240"/>
      <c r="AL55" s="240">
        <v>362</v>
      </c>
      <c r="AM55" s="240">
        <v>125897833</v>
      </c>
      <c r="AN55" s="240">
        <v>21589245</v>
      </c>
      <c r="AO55" s="241">
        <v>1493402102219</v>
      </c>
      <c r="AP55" s="302">
        <v>3.08</v>
      </c>
      <c r="AQ55" s="302">
        <v>30.85</v>
      </c>
      <c r="AR55" s="537" t="s">
        <v>150</v>
      </c>
    </row>
    <row r="56" spans="1:44" ht="22.5" customHeight="1" x14ac:dyDescent="0.15">
      <c r="A56">
        <v>51</v>
      </c>
      <c r="B56" s="323" t="s">
        <v>104</v>
      </c>
      <c r="C56" s="324" t="s">
        <v>192</v>
      </c>
      <c r="D56" s="325" t="s">
        <v>87</v>
      </c>
      <c r="E56" s="326" t="s">
        <v>36</v>
      </c>
      <c r="F56" s="240">
        <v>19977673</v>
      </c>
      <c r="G56" s="240">
        <v>1905829</v>
      </c>
      <c r="H56" s="240">
        <v>5441971</v>
      </c>
      <c r="I56" s="283">
        <v>15812825</v>
      </c>
      <c r="J56" s="285">
        <v>3</v>
      </c>
      <c r="K56" s="284">
        <v>43138299</v>
      </c>
      <c r="L56" s="240"/>
      <c r="M56" s="240"/>
      <c r="N56" s="240"/>
      <c r="O56" s="240"/>
      <c r="P56" s="240"/>
      <c r="Q56" s="240"/>
      <c r="R56" s="240"/>
      <c r="S56" s="240"/>
      <c r="T56" s="283"/>
      <c r="U56" s="288"/>
      <c r="V56" s="284"/>
      <c r="W56" s="240">
        <v>43138299</v>
      </c>
      <c r="X56" s="240"/>
      <c r="Y56" s="290" t="s">
        <v>440</v>
      </c>
      <c r="Z56" s="293" t="s">
        <v>249</v>
      </c>
      <c r="AA56" s="240">
        <v>2931062</v>
      </c>
      <c r="AB56" s="4"/>
      <c r="AC56" s="240"/>
      <c r="AD56" s="4"/>
      <c r="AE56" s="240"/>
      <c r="AF56" s="4"/>
      <c r="AG56" s="240"/>
      <c r="AH56" s="240">
        <v>14</v>
      </c>
      <c r="AI56" s="240"/>
      <c r="AJ56" s="240"/>
      <c r="AK56" s="240"/>
      <c r="AL56" s="310">
        <v>0.3</v>
      </c>
      <c r="AM56" s="240">
        <v>118187</v>
      </c>
      <c r="AN56" s="240">
        <v>14379433</v>
      </c>
      <c r="AO56" s="240">
        <v>119909888215</v>
      </c>
      <c r="AP56" s="302">
        <v>0.04</v>
      </c>
      <c r="AQ56" s="302">
        <v>46.31</v>
      </c>
      <c r="AR56" s="537" t="s">
        <v>150</v>
      </c>
    </row>
    <row r="57" spans="1:44" ht="22.5" customHeight="1" x14ac:dyDescent="0.15">
      <c r="A57">
        <v>52</v>
      </c>
      <c r="B57" s="323" t="s">
        <v>109</v>
      </c>
      <c r="C57" s="324" t="s">
        <v>194</v>
      </c>
      <c r="D57" s="325" t="s">
        <v>35</v>
      </c>
      <c r="E57" s="326" t="s">
        <v>36</v>
      </c>
      <c r="F57" s="240">
        <v>6137141257</v>
      </c>
      <c r="G57" s="240">
        <v>2305576632</v>
      </c>
      <c r="H57" s="240">
        <v>52018235</v>
      </c>
      <c r="I57" s="283">
        <v>1011732151</v>
      </c>
      <c r="J57" s="285">
        <v>921.6</v>
      </c>
      <c r="K57" s="284">
        <v>9506468276</v>
      </c>
      <c r="L57" s="240"/>
      <c r="M57" s="240"/>
      <c r="N57" s="240"/>
      <c r="O57" s="240"/>
      <c r="P57" s="240"/>
      <c r="Q57" s="240"/>
      <c r="R57" s="240"/>
      <c r="S57" s="240"/>
      <c r="T57" s="283"/>
      <c r="U57" s="288"/>
      <c r="V57" s="284"/>
      <c r="W57" s="240">
        <v>9506468276</v>
      </c>
      <c r="X57" s="240"/>
      <c r="Y57" s="290" t="s">
        <v>440</v>
      </c>
      <c r="Z57" s="293" t="s">
        <v>511</v>
      </c>
      <c r="AA57" s="240">
        <v>1264718</v>
      </c>
      <c r="AB57" s="300"/>
      <c r="AC57" s="240"/>
      <c r="AD57" s="4"/>
      <c r="AE57" s="240"/>
      <c r="AF57" s="4"/>
      <c r="AG57" s="240"/>
      <c r="AH57" s="240">
        <v>7516</v>
      </c>
      <c r="AI57" s="240"/>
      <c r="AJ57" s="240"/>
      <c r="AK57" s="240"/>
      <c r="AL57" s="240">
        <v>75</v>
      </c>
      <c r="AM57" s="240">
        <v>26045118</v>
      </c>
      <c r="AN57" s="240">
        <v>10315178</v>
      </c>
      <c r="AO57" s="240"/>
      <c r="AP57" s="302" t="s">
        <v>440</v>
      </c>
      <c r="AQ57" s="302">
        <v>64.56</v>
      </c>
      <c r="AR57" s="537" t="s">
        <v>148</v>
      </c>
    </row>
    <row r="58" spans="1:44" ht="22.5" customHeight="1" x14ac:dyDescent="0.15">
      <c r="A58">
        <v>53</v>
      </c>
      <c r="B58" s="323" t="s">
        <v>109</v>
      </c>
      <c r="C58" s="324" t="s">
        <v>195</v>
      </c>
      <c r="D58" s="325" t="s">
        <v>35</v>
      </c>
      <c r="E58" s="326" t="s">
        <v>36</v>
      </c>
      <c r="F58" s="240">
        <v>1986446654</v>
      </c>
      <c r="G58" s="240">
        <v>746260318</v>
      </c>
      <c r="H58" s="240">
        <v>16837065</v>
      </c>
      <c r="I58" s="283">
        <v>529202011</v>
      </c>
      <c r="J58" s="285">
        <v>298.3</v>
      </c>
      <c r="K58" s="284">
        <v>3278746049</v>
      </c>
      <c r="L58" s="240"/>
      <c r="M58" s="240"/>
      <c r="N58" s="240"/>
      <c r="O58" s="240"/>
      <c r="P58" s="240"/>
      <c r="Q58" s="240"/>
      <c r="R58" s="240"/>
      <c r="S58" s="240"/>
      <c r="T58" s="283"/>
      <c r="U58" s="288"/>
      <c r="V58" s="284"/>
      <c r="W58" s="240">
        <v>3278746049</v>
      </c>
      <c r="X58" s="240"/>
      <c r="Y58" s="290" t="s">
        <v>440</v>
      </c>
      <c r="Z58" s="293" t="s">
        <v>250</v>
      </c>
      <c r="AA58" s="240">
        <v>613214</v>
      </c>
      <c r="AB58" s="4"/>
      <c r="AC58" s="240"/>
      <c r="AD58" s="4"/>
      <c r="AE58" s="240"/>
      <c r="AF58" s="4"/>
      <c r="AG58" s="240"/>
      <c r="AH58" s="240">
        <v>5346</v>
      </c>
      <c r="AI58" s="240"/>
      <c r="AJ58" s="240"/>
      <c r="AK58" s="240"/>
      <c r="AL58" s="240">
        <v>25</v>
      </c>
      <c r="AM58" s="240">
        <v>8982865</v>
      </c>
      <c r="AN58" s="240">
        <v>10991438</v>
      </c>
      <c r="AO58" s="240"/>
      <c r="AP58" s="302" t="s">
        <v>440</v>
      </c>
      <c r="AQ58" s="302">
        <v>60.59</v>
      </c>
      <c r="AR58" s="537" t="s">
        <v>148</v>
      </c>
    </row>
    <row r="59" spans="1:44" ht="22.5" customHeight="1" x14ac:dyDescent="0.15">
      <c r="A59">
        <v>54</v>
      </c>
      <c r="B59" s="328" t="s">
        <v>109</v>
      </c>
      <c r="C59" s="327" t="s">
        <v>350</v>
      </c>
      <c r="D59" s="328" t="s">
        <v>338</v>
      </c>
      <c r="E59" s="328" t="s">
        <v>339</v>
      </c>
      <c r="F59" s="240">
        <v>19977673</v>
      </c>
      <c r="G59" s="240">
        <v>4673332</v>
      </c>
      <c r="H59" s="240">
        <v>65633</v>
      </c>
      <c r="I59" s="283">
        <v>3042329581</v>
      </c>
      <c r="J59" s="285">
        <v>3</v>
      </c>
      <c r="K59" s="284">
        <v>3067046221</v>
      </c>
      <c r="L59" s="240"/>
      <c r="M59" s="240"/>
      <c r="N59" s="240"/>
      <c r="O59" s="240"/>
      <c r="P59" s="240"/>
      <c r="Q59" s="240"/>
      <c r="R59" s="240"/>
      <c r="S59" s="240"/>
      <c r="T59" s="283"/>
      <c r="U59" s="295"/>
      <c r="V59" s="284"/>
      <c r="W59" s="240">
        <v>3067046221</v>
      </c>
      <c r="X59" s="240"/>
      <c r="Y59" s="290"/>
      <c r="Z59" s="293" t="s">
        <v>513</v>
      </c>
      <c r="AA59" s="240">
        <v>101</v>
      </c>
      <c r="AB59" s="4"/>
      <c r="AC59" s="240"/>
      <c r="AD59" s="4"/>
      <c r="AE59" s="240"/>
      <c r="AF59" s="4"/>
      <c r="AG59" s="240"/>
      <c r="AH59" s="240">
        <v>30366794</v>
      </c>
      <c r="AI59" s="240"/>
      <c r="AJ59" s="240"/>
      <c r="AK59" s="240" t="s">
        <v>440</v>
      </c>
      <c r="AL59" s="240">
        <v>24</v>
      </c>
      <c r="AM59" s="240">
        <v>8402866</v>
      </c>
      <c r="AN59" s="240">
        <v>1022348740</v>
      </c>
      <c r="AO59" s="241"/>
      <c r="AP59" s="302"/>
      <c r="AQ59" s="302">
        <v>0.65</v>
      </c>
      <c r="AR59" s="537" t="s">
        <v>148</v>
      </c>
    </row>
    <row r="60" spans="1:44" ht="22.5" customHeight="1" x14ac:dyDescent="0.15">
      <c r="A60">
        <v>55</v>
      </c>
      <c r="B60" s="328" t="s">
        <v>109</v>
      </c>
      <c r="C60" s="327" t="s">
        <v>349</v>
      </c>
      <c r="D60" s="328" t="s">
        <v>338</v>
      </c>
      <c r="E60" s="328" t="s">
        <v>339</v>
      </c>
      <c r="F60" s="240">
        <v>6659224</v>
      </c>
      <c r="G60" s="240">
        <v>22795463</v>
      </c>
      <c r="H60" s="240">
        <v>29050</v>
      </c>
      <c r="I60" s="283"/>
      <c r="J60" s="285">
        <v>1</v>
      </c>
      <c r="K60" s="284">
        <v>29483738</v>
      </c>
      <c r="L60" s="240"/>
      <c r="M60" s="240"/>
      <c r="N60" s="240"/>
      <c r="O60" s="240"/>
      <c r="P60" s="240"/>
      <c r="Q60" s="240"/>
      <c r="R60" s="240"/>
      <c r="S60" s="240"/>
      <c r="T60" s="283"/>
      <c r="U60" s="288"/>
      <c r="V60" s="284"/>
      <c r="W60" s="240">
        <v>29483738</v>
      </c>
      <c r="X60" s="240">
        <v>18236800</v>
      </c>
      <c r="Y60" s="290">
        <v>61.85</v>
      </c>
      <c r="Z60" s="494" t="s">
        <v>450</v>
      </c>
      <c r="AA60" s="240">
        <v>1312</v>
      </c>
      <c r="AB60" s="4"/>
      <c r="AC60" s="240"/>
      <c r="AD60" s="4"/>
      <c r="AE60" s="240"/>
      <c r="AF60" s="4"/>
      <c r="AG60" s="240"/>
      <c r="AH60" s="240">
        <v>22472</v>
      </c>
      <c r="AI60" s="240"/>
      <c r="AJ60" s="240"/>
      <c r="AK60" s="240" t="s">
        <v>440</v>
      </c>
      <c r="AL60" s="310">
        <v>0.2</v>
      </c>
      <c r="AM60" s="240">
        <v>80777</v>
      </c>
      <c r="AN60" s="240">
        <v>29483738</v>
      </c>
      <c r="AO60" s="241"/>
      <c r="AP60" s="302"/>
      <c r="AQ60" s="302">
        <v>22.59</v>
      </c>
      <c r="AR60" s="537" t="s">
        <v>148</v>
      </c>
    </row>
    <row r="61" spans="1:44" ht="22.5" customHeight="1" x14ac:dyDescent="0.15">
      <c r="A61">
        <v>56</v>
      </c>
      <c r="B61" s="328" t="s">
        <v>109</v>
      </c>
      <c r="C61" s="327" t="s">
        <v>437</v>
      </c>
      <c r="D61" s="328" t="s">
        <v>338</v>
      </c>
      <c r="E61" s="328" t="s">
        <v>345</v>
      </c>
      <c r="F61" s="240">
        <v>11986604</v>
      </c>
      <c r="G61" s="240">
        <v>4503079</v>
      </c>
      <c r="H61" s="240">
        <v>101598</v>
      </c>
      <c r="I61" s="283"/>
      <c r="J61" s="285">
        <v>1.8</v>
      </c>
      <c r="K61" s="284">
        <v>16591281</v>
      </c>
      <c r="L61" s="240">
        <v>274638258</v>
      </c>
      <c r="M61" s="240">
        <v>902834183</v>
      </c>
      <c r="N61" s="240">
        <v>21095037</v>
      </c>
      <c r="O61" s="240">
        <v>11267806</v>
      </c>
      <c r="P61" s="240">
        <v>295733295</v>
      </c>
      <c r="Q61" s="240">
        <v>700757</v>
      </c>
      <c r="R61" s="240">
        <v>914101989</v>
      </c>
      <c r="S61" s="240">
        <v>6200773</v>
      </c>
      <c r="T61" s="283">
        <v>91598</v>
      </c>
      <c r="U61" s="288">
        <v>32.9</v>
      </c>
      <c r="V61" s="284">
        <v>1216828413</v>
      </c>
      <c r="W61" s="240">
        <v>1233419694</v>
      </c>
      <c r="X61" s="240">
        <v>223362000</v>
      </c>
      <c r="Y61" s="290">
        <v>18.11</v>
      </c>
      <c r="Z61" s="495" t="s">
        <v>465</v>
      </c>
      <c r="AA61" s="240">
        <v>39762</v>
      </c>
      <c r="AB61" s="307" t="s">
        <v>466</v>
      </c>
      <c r="AC61" s="240">
        <v>1570</v>
      </c>
      <c r="AD61" s="4" t="s">
        <v>467</v>
      </c>
      <c r="AE61" s="240">
        <v>22721</v>
      </c>
      <c r="AF61" s="4" t="s">
        <v>440</v>
      </c>
      <c r="AG61" s="240"/>
      <c r="AH61" s="240">
        <v>31020</v>
      </c>
      <c r="AI61" s="240">
        <v>785617</v>
      </c>
      <c r="AJ61" s="240">
        <v>54285</v>
      </c>
      <c r="AK61" s="240" t="s">
        <v>440</v>
      </c>
      <c r="AL61" s="240">
        <v>9</v>
      </c>
      <c r="AM61" s="240">
        <v>3379232</v>
      </c>
      <c r="AN61" s="240">
        <v>35545236</v>
      </c>
      <c r="AO61" s="241"/>
      <c r="AP61" s="302"/>
      <c r="AQ61" s="302">
        <v>25.01</v>
      </c>
      <c r="AR61" s="537" t="s">
        <v>149</v>
      </c>
    </row>
    <row r="62" spans="1:44" ht="22.5" customHeight="1" x14ac:dyDescent="0.15">
      <c r="A62">
        <v>57</v>
      </c>
      <c r="B62" s="328" t="s">
        <v>109</v>
      </c>
      <c r="C62" s="327" t="s">
        <v>442</v>
      </c>
      <c r="D62" s="328" t="s">
        <v>338</v>
      </c>
      <c r="E62" s="328" t="s">
        <v>345</v>
      </c>
      <c r="F62" s="240">
        <v>566034078</v>
      </c>
      <c r="G62" s="240">
        <v>92162658</v>
      </c>
      <c r="H62" s="240">
        <v>5009044</v>
      </c>
      <c r="I62" s="283"/>
      <c r="J62" s="285">
        <v>85</v>
      </c>
      <c r="K62" s="284">
        <v>663205781</v>
      </c>
      <c r="L62" s="240">
        <v>43108967000</v>
      </c>
      <c r="M62" s="240">
        <v>23402380000</v>
      </c>
      <c r="N62" s="240"/>
      <c r="O62" s="240"/>
      <c r="P62" s="240">
        <v>43108967000</v>
      </c>
      <c r="Q62" s="240"/>
      <c r="R62" s="240">
        <v>23402380000</v>
      </c>
      <c r="S62" s="240"/>
      <c r="T62" s="283"/>
      <c r="U62" s="285">
        <v>5191.7</v>
      </c>
      <c r="V62" s="284">
        <v>66511347000</v>
      </c>
      <c r="W62" s="240">
        <v>67174552781</v>
      </c>
      <c r="X62" s="241">
        <v>28006353000</v>
      </c>
      <c r="Y62" s="290">
        <v>41.69</v>
      </c>
      <c r="Z62" s="495" t="s">
        <v>514</v>
      </c>
      <c r="AA62" s="240">
        <v>1724000</v>
      </c>
      <c r="AB62" s="5"/>
      <c r="AC62" s="241"/>
      <c r="AD62" s="5"/>
      <c r="AE62" s="241"/>
      <c r="AF62" s="5"/>
      <c r="AG62" s="241"/>
      <c r="AH62" s="241">
        <v>38964</v>
      </c>
      <c r="AI62" s="240" t="s">
        <v>440</v>
      </c>
      <c r="AJ62" s="240" t="s">
        <v>440</v>
      </c>
      <c r="AK62" s="241" t="s">
        <v>440</v>
      </c>
      <c r="AL62" s="241">
        <v>530</v>
      </c>
      <c r="AM62" s="240">
        <v>184039870</v>
      </c>
      <c r="AN62" s="240">
        <v>12730231</v>
      </c>
      <c r="AO62" s="241"/>
      <c r="AP62" s="302"/>
      <c r="AQ62" s="302">
        <v>65.02</v>
      </c>
      <c r="AR62" s="537" t="s">
        <v>149</v>
      </c>
    </row>
    <row r="63" spans="1:44" ht="22.5" customHeight="1" x14ac:dyDescent="0.15">
      <c r="A63">
        <v>58</v>
      </c>
      <c r="B63" s="328" t="s">
        <v>109</v>
      </c>
      <c r="C63" s="327" t="s">
        <v>380</v>
      </c>
      <c r="D63" s="328" t="s">
        <v>346</v>
      </c>
      <c r="E63" s="328" t="s">
        <v>339</v>
      </c>
      <c r="F63" s="240">
        <v>118534195</v>
      </c>
      <c r="G63" s="240">
        <v>31240210</v>
      </c>
      <c r="H63" s="240">
        <v>1028006</v>
      </c>
      <c r="I63" s="283"/>
      <c r="J63" s="285">
        <v>17.8</v>
      </c>
      <c r="K63" s="284">
        <v>150802412</v>
      </c>
      <c r="L63" s="240"/>
      <c r="M63" s="240"/>
      <c r="N63" s="240"/>
      <c r="O63" s="240"/>
      <c r="P63" s="240"/>
      <c r="Q63" s="240"/>
      <c r="R63" s="240"/>
      <c r="S63" s="240"/>
      <c r="T63" s="283"/>
      <c r="U63" s="288"/>
      <c r="V63" s="284"/>
      <c r="W63" s="240">
        <v>150802412</v>
      </c>
      <c r="X63" s="240"/>
      <c r="Y63" s="290"/>
      <c r="Z63" s="5" t="s">
        <v>370</v>
      </c>
      <c r="AA63" s="240">
        <v>132</v>
      </c>
      <c r="AB63" s="304"/>
      <c r="AC63" s="240"/>
      <c r="AD63" s="5"/>
      <c r="AE63" s="241"/>
      <c r="AF63" s="5"/>
      <c r="AG63" s="241"/>
      <c r="AH63" s="240">
        <v>1142442</v>
      </c>
      <c r="AI63" s="240"/>
      <c r="AJ63" s="240"/>
      <c r="AK63" s="241" t="s">
        <v>440</v>
      </c>
      <c r="AL63" s="241">
        <v>1</v>
      </c>
      <c r="AM63" s="240">
        <v>413157</v>
      </c>
      <c r="AN63" s="240">
        <v>8472045</v>
      </c>
      <c r="AO63" s="241">
        <v>21345013740</v>
      </c>
      <c r="AP63" s="302">
        <v>0.71</v>
      </c>
      <c r="AQ63" s="302">
        <v>78.599999999999994</v>
      </c>
      <c r="AR63" s="537" t="s">
        <v>150</v>
      </c>
    </row>
    <row r="64" spans="1:44" ht="22.5" customHeight="1" x14ac:dyDescent="0.15">
      <c r="A64">
        <v>59</v>
      </c>
      <c r="B64" s="328" t="s">
        <v>110</v>
      </c>
      <c r="C64" s="327" t="s">
        <v>475</v>
      </c>
      <c r="D64" s="328" t="s">
        <v>338</v>
      </c>
      <c r="E64" s="328" t="s">
        <v>339</v>
      </c>
      <c r="F64" s="240">
        <v>6992185</v>
      </c>
      <c r="G64" s="240">
        <v>4994332</v>
      </c>
      <c r="H64" s="240">
        <v>214074</v>
      </c>
      <c r="I64" s="283">
        <v>38880000</v>
      </c>
      <c r="J64" s="285">
        <v>1</v>
      </c>
      <c r="K64" s="284">
        <v>51080592</v>
      </c>
      <c r="L64" s="240"/>
      <c r="M64" s="240"/>
      <c r="N64" s="240"/>
      <c r="O64" s="240"/>
      <c r="P64" s="240"/>
      <c r="Q64" s="240"/>
      <c r="R64" s="240"/>
      <c r="S64" s="240"/>
      <c r="T64" s="283"/>
      <c r="U64" s="288"/>
      <c r="V64" s="284"/>
      <c r="W64" s="240">
        <v>51080592</v>
      </c>
      <c r="X64" s="241">
        <v>60605000</v>
      </c>
      <c r="Y64" s="290">
        <v>118.65</v>
      </c>
      <c r="Z64" s="495" t="s">
        <v>359</v>
      </c>
      <c r="AA64" s="240">
        <v>7130</v>
      </c>
      <c r="AB64" s="5"/>
      <c r="AC64" s="240"/>
      <c r="AD64" s="5"/>
      <c r="AE64" s="240"/>
      <c r="AF64" s="5"/>
      <c r="AG64" s="241"/>
      <c r="AH64" s="240">
        <v>7164</v>
      </c>
      <c r="AI64" s="240"/>
      <c r="AJ64" s="240"/>
      <c r="AK64" s="241" t="s">
        <v>440</v>
      </c>
      <c r="AL64" s="313">
        <v>0.4</v>
      </c>
      <c r="AM64" s="240">
        <v>139946</v>
      </c>
      <c r="AN64" s="241">
        <v>48648183</v>
      </c>
      <c r="AO64" s="241"/>
      <c r="AP64" s="302"/>
      <c r="AQ64" s="302">
        <v>13.69</v>
      </c>
      <c r="AR64" s="537" t="s">
        <v>148</v>
      </c>
    </row>
    <row r="65" spans="1:44" ht="22.5" customHeight="1" x14ac:dyDescent="0.15">
      <c r="A65">
        <v>60</v>
      </c>
      <c r="B65" s="323" t="s">
        <v>110</v>
      </c>
      <c r="C65" s="324" t="s">
        <v>111</v>
      </c>
      <c r="D65" s="325" t="s">
        <v>35</v>
      </c>
      <c r="E65" s="326" t="s">
        <v>36</v>
      </c>
      <c r="F65" s="240">
        <v>21309518</v>
      </c>
      <c r="G65" s="240">
        <v>9144081</v>
      </c>
      <c r="H65" s="240">
        <v>635969</v>
      </c>
      <c r="I65" s="283">
        <v>61386566</v>
      </c>
      <c r="J65" s="285">
        <v>3.2</v>
      </c>
      <c r="K65" s="284">
        <v>92476135</v>
      </c>
      <c r="L65" s="240"/>
      <c r="M65" s="240"/>
      <c r="N65" s="240"/>
      <c r="O65" s="240"/>
      <c r="P65" s="240"/>
      <c r="Q65" s="240"/>
      <c r="R65" s="240"/>
      <c r="S65" s="240"/>
      <c r="T65" s="283"/>
      <c r="U65" s="288"/>
      <c r="V65" s="284"/>
      <c r="W65" s="240">
        <v>92476135</v>
      </c>
      <c r="X65" s="240">
        <v>52224000</v>
      </c>
      <c r="Y65" s="290">
        <v>56.47</v>
      </c>
      <c r="Z65" s="5" t="s">
        <v>251</v>
      </c>
      <c r="AA65" s="240">
        <v>4352</v>
      </c>
      <c r="AB65" s="293"/>
      <c r="AC65" s="241"/>
      <c r="AD65" s="5"/>
      <c r="AE65" s="241"/>
      <c r="AF65" s="5"/>
      <c r="AG65" s="241"/>
      <c r="AH65" s="240">
        <v>21249</v>
      </c>
      <c r="AI65" s="240"/>
      <c r="AJ65" s="240"/>
      <c r="AK65" s="241"/>
      <c r="AL65" s="313">
        <v>0.7</v>
      </c>
      <c r="AM65" s="240">
        <v>253359</v>
      </c>
      <c r="AN65" s="241">
        <v>28898792</v>
      </c>
      <c r="AO65" s="241"/>
      <c r="AP65" s="302" t="s">
        <v>440</v>
      </c>
      <c r="AQ65" s="302">
        <v>23.04</v>
      </c>
      <c r="AR65" s="537" t="s">
        <v>148</v>
      </c>
    </row>
    <row r="66" spans="1:44" ht="22.5" customHeight="1" x14ac:dyDescent="0.15">
      <c r="A66">
        <v>61</v>
      </c>
      <c r="B66" s="328" t="s">
        <v>110</v>
      </c>
      <c r="C66" s="327" t="s">
        <v>463</v>
      </c>
      <c r="D66" s="328" t="s">
        <v>346</v>
      </c>
      <c r="E66" s="328" t="s">
        <v>345</v>
      </c>
      <c r="F66" s="240">
        <v>912313</v>
      </c>
      <c r="G66" s="240">
        <v>489156</v>
      </c>
      <c r="H66" s="240"/>
      <c r="I66" s="283"/>
      <c r="J66" s="285">
        <v>0.1</v>
      </c>
      <c r="K66" s="284">
        <v>1401469</v>
      </c>
      <c r="L66" s="240">
        <v>29475318</v>
      </c>
      <c r="M66" s="240">
        <v>12191205</v>
      </c>
      <c r="N66" s="240"/>
      <c r="O66" s="240"/>
      <c r="P66" s="240">
        <v>29475318</v>
      </c>
      <c r="Q66" s="240"/>
      <c r="R66" s="240">
        <v>12191205</v>
      </c>
      <c r="S66" s="240"/>
      <c r="T66" s="283"/>
      <c r="U66" s="288">
        <v>3.5</v>
      </c>
      <c r="V66" s="284">
        <v>41666523</v>
      </c>
      <c r="W66" s="240">
        <v>43067992</v>
      </c>
      <c r="X66" s="240"/>
      <c r="Y66" s="290"/>
      <c r="Z66" s="494" t="s">
        <v>254</v>
      </c>
      <c r="AA66" s="240">
        <v>65</v>
      </c>
      <c r="AB66" s="5"/>
      <c r="AC66" s="241"/>
      <c r="AD66" s="5"/>
      <c r="AE66" s="241"/>
      <c r="AF66" s="5"/>
      <c r="AG66" s="241"/>
      <c r="AH66" s="240">
        <v>662584</v>
      </c>
      <c r="AI66" s="240"/>
      <c r="AJ66" s="240"/>
      <c r="AK66" s="241" t="s">
        <v>440</v>
      </c>
      <c r="AL66" s="313">
        <v>0.3</v>
      </c>
      <c r="AM66" s="240">
        <v>117994</v>
      </c>
      <c r="AN66" s="240">
        <v>11567445</v>
      </c>
      <c r="AO66" s="241">
        <v>119488610</v>
      </c>
      <c r="AP66" s="302">
        <v>36.04</v>
      </c>
      <c r="AQ66" s="302">
        <v>70.56</v>
      </c>
      <c r="AR66" s="537" t="s">
        <v>151</v>
      </c>
    </row>
    <row r="67" spans="1:44" ht="22.5" customHeight="1" x14ac:dyDescent="0.15">
      <c r="A67">
        <v>62</v>
      </c>
      <c r="B67" s="328" t="s">
        <v>110</v>
      </c>
      <c r="C67" s="327" t="s">
        <v>347</v>
      </c>
      <c r="D67" s="328" t="s">
        <v>346</v>
      </c>
      <c r="E67" s="328" t="s">
        <v>345</v>
      </c>
      <c r="F67" s="240">
        <v>29300587</v>
      </c>
      <c r="G67" s="240">
        <v>76502646</v>
      </c>
      <c r="H67" s="240">
        <v>470711701</v>
      </c>
      <c r="I67" s="283"/>
      <c r="J67" s="285">
        <v>4.4000000000000004</v>
      </c>
      <c r="K67" s="284">
        <v>576514935</v>
      </c>
      <c r="L67" s="240">
        <v>748475110</v>
      </c>
      <c r="M67" s="240">
        <v>5099011248</v>
      </c>
      <c r="N67" s="240">
        <v>4771028</v>
      </c>
      <c r="O67" s="240">
        <v>11907782</v>
      </c>
      <c r="P67" s="240">
        <v>753246138</v>
      </c>
      <c r="Q67" s="240"/>
      <c r="R67" s="240">
        <v>5110919030</v>
      </c>
      <c r="S67" s="240"/>
      <c r="T67" s="283"/>
      <c r="U67" s="288">
        <v>172.7</v>
      </c>
      <c r="V67" s="284">
        <v>5864165169</v>
      </c>
      <c r="W67" s="240">
        <v>6440680105</v>
      </c>
      <c r="X67" s="240"/>
      <c r="Y67" s="290"/>
      <c r="Z67" s="5" t="s">
        <v>499</v>
      </c>
      <c r="AA67" s="241">
        <v>11185</v>
      </c>
      <c r="AB67" s="5"/>
      <c r="AC67" s="241"/>
      <c r="AD67" s="5"/>
      <c r="AE67" s="241"/>
      <c r="AF67" s="5"/>
      <c r="AG67" s="241"/>
      <c r="AH67" s="240">
        <v>575831</v>
      </c>
      <c r="AI67" s="240" t="s">
        <v>440</v>
      </c>
      <c r="AJ67" s="240" t="s">
        <v>440</v>
      </c>
      <c r="AK67" s="241" t="s">
        <v>440</v>
      </c>
      <c r="AL67" s="241">
        <v>50</v>
      </c>
      <c r="AM67" s="240">
        <v>17645698</v>
      </c>
      <c r="AN67" s="240">
        <v>36353176</v>
      </c>
      <c r="AO67" s="241">
        <v>56043317168</v>
      </c>
      <c r="AP67" s="302">
        <v>11.49</v>
      </c>
      <c r="AQ67" s="302">
        <v>12.15</v>
      </c>
      <c r="AR67" s="537" t="s">
        <v>151</v>
      </c>
    </row>
    <row r="68" spans="1:44" ht="22.5" customHeight="1" x14ac:dyDescent="0.15">
      <c r="A68">
        <v>63</v>
      </c>
      <c r="B68" s="323" t="s">
        <v>110</v>
      </c>
      <c r="C68" s="324" t="s">
        <v>196</v>
      </c>
      <c r="D68" s="325" t="s">
        <v>87</v>
      </c>
      <c r="E68" s="326" t="s">
        <v>38</v>
      </c>
      <c r="F68" s="240"/>
      <c r="G68" s="240"/>
      <c r="H68" s="240"/>
      <c r="I68" s="283"/>
      <c r="J68" s="285"/>
      <c r="K68" s="284"/>
      <c r="L68" s="240">
        <v>149327479</v>
      </c>
      <c r="M68" s="240">
        <v>64732349</v>
      </c>
      <c r="N68" s="240">
        <v>5731885</v>
      </c>
      <c r="O68" s="240">
        <v>4205002</v>
      </c>
      <c r="P68" s="240">
        <v>155059364</v>
      </c>
      <c r="Q68" s="240"/>
      <c r="R68" s="240">
        <v>68937351</v>
      </c>
      <c r="S68" s="240"/>
      <c r="T68" s="283"/>
      <c r="U68" s="288">
        <v>24.4</v>
      </c>
      <c r="V68" s="284">
        <v>223996716</v>
      </c>
      <c r="W68" s="240">
        <v>223996716</v>
      </c>
      <c r="X68" s="241"/>
      <c r="Y68" s="290"/>
      <c r="Z68" s="297" t="s">
        <v>252</v>
      </c>
      <c r="AA68" s="241">
        <v>381</v>
      </c>
      <c r="AB68" s="294" t="s">
        <v>253</v>
      </c>
      <c r="AC68" s="241">
        <v>1234</v>
      </c>
      <c r="AD68" s="5"/>
      <c r="AE68" s="241"/>
      <c r="AF68" s="5"/>
      <c r="AG68" s="241"/>
      <c r="AH68" s="240">
        <v>587917</v>
      </c>
      <c r="AI68" s="240">
        <v>181520</v>
      </c>
      <c r="AJ68" s="240"/>
      <c r="AK68" s="241"/>
      <c r="AL68" s="241">
        <v>1</v>
      </c>
      <c r="AM68" s="240">
        <v>613689</v>
      </c>
      <c r="AN68" s="240">
        <v>9148745</v>
      </c>
      <c r="AO68" s="240">
        <v>1968139000</v>
      </c>
      <c r="AP68" s="302">
        <v>11.38</v>
      </c>
      <c r="AQ68" s="302">
        <v>69.22</v>
      </c>
      <c r="AR68" s="541" t="s">
        <v>151</v>
      </c>
    </row>
    <row r="69" spans="1:44" ht="22.5" customHeight="1" x14ac:dyDescent="0.15">
      <c r="A69">
        <v>64</v>
      </c>
      <c r="B69" s="328" t="s">
        <v>110</v>
      </c>
      <c r="C69" s="327" t="s">
        <v>609</v>
      </c>
      <c r="D69" s="328" t="s">
        <v>346</v>
      </c>
      <c r="E69" s="328" t="s">
        <v>345</v>
      </c>
      <c r="F69" s="240">
        <v>11320681</v>
      </c>
      <c r="G69" s="240">
        <v>29557840</v>
      </c>
      <c r="H69" s="240">
        <v>181865884</v>
      </c>
      <c r="I69" s="283"/>
      <c r="J69" s="285">
        <v>1.7</v>
      </c>
      <c r="K69" s="284">
        <v>222744406</v>
      </c>
      <c r="L69" s="240">
        <v>117079138</v>
      </c>
      <c r="M69" s="240">
        <v>34725577</v>
      </c>
      <c r="N69" s="240">
        <v>3921523</v>
      </c>
      <c r="O69" s="240">
        <v>2876892</v>
      </c>
      <c r="P69" s="240">
        <v>121000661</v>
      </c>
      <c r="Q69" s="240"/>
      <c r="R69" s="240">
        <v>37602469</v>
      </c>
      <c r="S69" s="240"/>
      <c r="T69" s="283"/>
      <c r="U69" s="288">
        <v>16</v>
      </c>
      <c r="V69" s="284">
        <v>158603130</v>
      </c>
      <c r="W69" s="240">
        <v>381347537</v>
      </c>
      <c r="X69" s="241"/>
      <c r="Y69" s="290"/>
      <c r="Z69" s="5" t="s">
        <v>254</v>
      </c>
      <c r="AA69" s="241">
        <v>87</v>
      </c>
      <c r="AB69" s="294" t="s">
        <v>383</v>
      </c>
      <c r="AC69" s="241">
        <v>7</v>
      </c>
      <c r="AD69" s="5"/>
      <c r="AE69" s="241"/>
      <c r="AF69" s="5"/>
      <c r="AG69" s="241"/>
      <c r="AH69" s="240">
        <v>4383305</v>
      </c>
      <c r="AI69" s="240">
        <v>54478219</v>
      </c>
      <c r="AJ69" s="240"/>
      <c r="AK69" s="241" t="s">
        <v>440</v>
      </c>
      <c r="AL69" s="241">
        <v>3</v>
      </c>
      <c r="AM69" s="240">
        <v>1044787</v>
      </c>
      <c r="AN69" s="241">
        <v>21545058</v>
      </c>
      <c r="AO69" s="240">
        <v>2738620694</v>
      </c>
      <c r="AP69" s="302">
        <v>13.92</v>
      </c>
      <c r="AQ69" s="302">
        <v>34.700000000000003</v>
      </c>
      <c r="AR69" s="541" t="s">
        <v>151</v>
      </c>
    </row>
    <row r="70" spans="1:44" ht="22.5" customHeight="1" x14ac:dyDescent="0.15">
      <c r="A70">
        <v>65</v>
      </c>
      <c r="B70" s="323" t="s">
        <v>110</v>
      </c>
      <c r="C70" s="324" t="s">
        <v>226</v>
      </c>
      <c r="D70" s="323" t="s">
        <v>87</v>
      </c>
      <c r="E70" s="330" t="s">
        <v>38</v>
      </c>
      <c r="F70" s="240">
        <v>11320681</v>
      </c>
      <c r="G70" s="240">
        <v>29557840</v>
      </c>
      <c r="H70" s="240">
        <v>181865884</v>
      </c>
      <c r="I70" s="283"/>
      <c r="J70" s="285">
        <v>1.7</v>
      </c>
      <c r="K70" s="284">
        <v>222744406</v>
      </c>
      <c r="L70" s="240">
        <v>99559116</v>
      </c>
      <c r="M70" s="240">
        <v>365409609</v>
      </c>
      <c r="N70" s="240">
        <v>3660993</v>
      </c>
      <c r="O70" s="240">
        <v>12407521</v>
      </c>
      <c r="P70" s="240">
        <v>103220109</v>
      </c>
      <c r="Q70" s="240"/>
      <c r="R70" s="240">
        <v>377817130</v>
      </c>
      <c r="S70" s="240"/>
      <c r="T70" s="283"/>
      <c r="U70" s="288">
        <v>63</v>
      </c>
      <c r="V70" s="284">
        <v>481037240</v>
      </c>
      <c r="W70" s="240">
        <v>703781647</v>
      </c>
      <c r="X70" s="241"/>
      <c r="Y70" s="290"/>
      <c r="Z70" s="5" t="s">
        <v>254</v>
      </c>
      <c r="AA70" s="240">
        <v>40582</v>
      </c>
      <c r="AB70" s="5"/>
      <c r="AC70" s="241"/>
      <c r="AD70" s="5"/>
      <c r="AE70" s="241"/>
      <c r="AF70" s="5"/>
      <c r="AG70" s="241"/>
      <c r="AH70" s="240">
        <v>17342</v>
      </c>
      <c r="AI70" s="240"/>
      <c r="AJ70" s="240"/>
      <c r="AK70" s="241"/>
      <c r="AL70" s="241">
        <v>5</v>
      </c>
      <c r="AM70" s="241">
        <v>1928168</v>
      </c>
      <c r="AN70" s="241">
        <v>10877614</v>
      </c>
      <c r="AO70" s="240">
        <v>6283960664</v>
      </c>
      <c r="AP70" s="302">
        <v>11.2</v>
      </c>
      <c r="AQ70" s="302">
        <v>16.28</v>
      </c>
      <c r="AR70" s="541" t="s">
        <v>151</v>
      </c>
    </row>
    <row r="71" spans="1:44" ht="22.5" customHeight="1" x14ac:dyDescent="0.15">
      <c r="A71">
        <v>66</v>
      </c>
      <c r="B71" s="328" t="s">
        <v>112</v>
      </c>
      <c r="C71" s="327" t="s">
        <v>343</v>
      </c>
      <c r="D71" s="328" t="s">
        <v>338</v>
      </c>
      <c r="E71" s="328" t="s">
        <v>339</v>
      </c>
      <c r="F71" s="240">
        <v>646943655</v>
      </c>
      <c r="G71" s="240">
        <v>170968777</v>
      </c>
      <c r="H71" s="240"/>
      <c r="I71" s="283">
        <v>14347670620</v>
      </c>
      <c r="J71" s="285">
        <v>97.1</v>
      </c>
      <c r="K71" s="284">
        <v>15165583053</v>
      </c>
      <c r="L71" s="240"/>
      <c r="M71" s="240"/>
      <c r="N71" s="240"/>
      <c r="O71" s="240"/>
      <c r="P71" s="240"/>
      <c r="Q71" s="240"/>
      <c r="R71" s="240"/>
      <c r="S71" s="240"/>
      <c r="T71" s="283"/>
      <c r="U71" s="288"/>
      <c r="V71" s="284"/>
      <c r="W71" s="240">
        <v>15165583053</v>
      </c>
      <c r="X71" s="241"/>
      <c r="Y71" s="290"/>
      <c r="Z71" s="5" t="s">
        <v>373</v>
      </c>
      <c r="AA71" s="241">
        <v>32192689</v>
      </c>
      <c r="AB71" s="327" t="s">
        <v>476</v>
      </c>
      <c r="AC71" s="241">
        <v>4119</v>
      </c>
      <c r="AD71" s="5"/>
      <c r="AE71" s="241"/>
      <c r="AF71" s="5"/>
      <c r="AG71" s="241"/>
      <c r="AH71" s="240">
        <v>471</v>
      </c>
      <c r="AI71" s="240">
        <v>3681860</v>
      </c>
      <c r="AJ71" s="240" t="s">
        <v>440</v>
      </c>
      <c r="AK71" s="241" t="s">
        <v>440</v>
      </c>
      <c r="AL71" s="241">
        <v>119</v>
      </c>
      <c r="AM71" s="241">
        <v>41549542</v>
      </c>
      <c r="AN71" s="241">
        <v>156104817</v>
      </c>
      <c r="AO71" s="241"/>
      <c r="AP71" s="302"/>
      <c r="AQ71" s="302">
        <v>4.2699999999999996</v>
      </c>
      <c r="AR71" s="541" t="s">
        <v>148</v>
      </c>
    </row>
    <row r="72" spans="1:44" ht="22.5" customHeight="1" x14ac:dyDescent="0.15">
      <c r="A72">
        <v>67</v>
      </c>
      <c r="B72" s="323" t="s">
        <v>112</v>
      </c>
      <c r="C72" s="324" t="s">
        <v>260</v>
      </c>
      <c r="D72" s="323" t="s">
        <v>35</v>
      </c>
      <c r="E72" s="330" t="s">
        <v>36</v>
      </c>
      <c r="F72" s="240">
        <v>32630199</v>
      </c>
      <c r="G72" s="240">
        <v>279830</v>
      </c>
      <c r="H72" s="240"/>
      <c r="I72" s="283">
        <v>180514644</v>
      </c>
      <c r="J72" s="285">
        <v>4.9000000000000004</v>
      </c>
      <c r="K72" s="284">
        <v>213424674</v>
      </c>
      <c r="L72" s="240"/>
      <c r="M72" s="240"/>
      <c r="N72" s="240"/>
      <c r="O72" s="240"/>
      <c r="P72" s="240"/>
      <c r="Q72" s="240"/>
      <c r="R72" s="240"/>
      <c r="S72" s="240"/>
      <c r="T72" s="283"/>
      <c r="U72" s="288"/>
      <c r="V72" s="284"/>
      <c r="W72" s="240">
        <v>213424674</v>
      </c>
      <c r="X72" s="241"/>
      <c r="Y72" s="290"/>
      <c r="Z72" s="294" t="s">
        <v>255</v>
      </c>
      <c r="AA72" s="241">
        <v>20</v>
      </c>
      <c r="AB72" s="499" t="s">
        <v>256</v>
      </c>
      <c r="AC72" s="241">
        <v>1374</v>
      </c>
      <c r="AD72" s="5"/>
      <c r="AE72" s="241"/>
      <c r="AF72" s="5"/>
      <c r="AG72" s="241"/>
      <c r="AH72" s="240">
        <v>128868</v>
      </c>
      <c r="AI72" s="240">
        <v>153455</v>
      </c>
      <c r="AJ72" s="240"/>
      <c r="AK72" s="241"/>
      <c r="AL72" s="241">
        <v>1</v>
      </c>
      <c r="AM72" s="241"/>
      <c r="AN72" s="241"/>
      <c r="AO72" s="241"/>
      <c r="AP72" s="302" t="s">
        <v>440</v>
      </c>
      <c r="AQ72" s="302">
        <v>15.29</v>
      </c>
      <c r="AR72" s="541" t="s">
        <v>148</v>
      </c>
    </row>
    <row r="73" spans="1:44" ht="22.5" customHeight="1" x14ac:dyDescent="0.15">
      <c r="A73">
        <v>68</v>
      </c>
      <c r="B73" s="323" t="s">
        <v>112</v>
      </c>
      <c r="C73" s="324" t="s">
        <v>261</v>
      </c>
      <c r="D73" s="323" t="s">
        <v>35</v>
      </c>
      <c r="E73" s="330" t="s">
        <v>36</v>
      </c>
      <c r="F73" s="240">
        <v>1331844</v>
      </c>
      <c r="G73" s="240">
        <v>11421</v>
      </c>
      <c r="H73" s="240"/>
      <c r="I73" s="283">
        <v>1234102</v>
      </c>
      <c r="J73" s="285">
        <v>0.2</v>
      </c>
      <c r="K73" s="284">
        <v>2577368</v>
      </c>
      <c r="L73" s="240"/>
      <c r="M73" s="240"/>
      <c r="N73" s="240"/>
      <c r="O73" s="240"/>
      <c r="P73" s="240"/>
      <c r="Q73" s="240"/>
      <c r="R73" s="240"/>
      <c r="S73" s="240"/>
      <c r="T73" s="283"/>
      <c r="U73" s="288"/>
      <c r="V73" s="284"/>
      <c r="W73" s="240">
        <v>2577368</v>
      </c>
      <c r="X73" s="241"/>
      <c r="Y73" s="290" t="s">
        <v>440</v>
      </c>
      <c r="Z73" s="499" t="s">
        <v>255</v>
      </c>
      <c r="AA73" s="241">
        <v>20</v>
      </c>
      <c r="AB73" s="5"/>
      <c r="AC73" s="241"/>
      <c r="AD73" s="5"/>
      <c r="AE73" s="241"/>
      <c r="AF73" s="5"/>
      <c r="AG73" s="241"/>
      <c r="AH73" s="240">
        <v>128868</v>
      </c>
      <c r="AI73" s="240"/>
      <c r="AJ73" s="240"/>
      <c r="AK73" s="241"/>
      <c r="AL73" s="241"/>
      <c r="AM73" s="240">
        <v>7061</v>
      </c>
      <c r="AN73" s="240"/>
      <c r="AO73" s="241"/>
      <c r="AP73" s="302" t="s">
        <v>440</v>
      </c>
      <c r="AQ73" s="302">
        <v>51.67</v>
      </c>
      <c r="AR73" s="541"/>
    </row>
    <row r="74" spans="1:44" ht="22.5" customHeight="1" x14ac:dyDescent="0.15">
      <c r="A74">
        <v>69</v>
      </c>
      <c r="B74" s="323" t="s">
        <v>112</v>
      </c>
      <c r="C74" s="324" t="s">
        <v>227</v>
      </c>
      <c r="D74" s="323" t="s">
        <v>35</v>
      </c>
      <c r="E74" s="330" t="s">
        <v>36</v>
      </c>
      <c r="F74" s="241">
        <v>31298354</v>
      </c>
      <c r="G74" s="240">
        <v>268409</v>
      </c>
      <c r="H74" s="240"/>
      <c r="I74" s="283">
        <v>179280542</v>
      </c>
      <c r="J74" s="352">
        <v>4.7</v>
      </c>
      <c r="K74" s="284">
        <v>210847305</v>
      </c>
      <c r="L74" s="240"/>
      <c r="M74" s="240"/>
      <c r="N74" s="240"/>
      <c r="O74" s="240"/>
      <c r="P74" s="240"/>
      <c r="Q74" s="241"/>
      <c r="R74" s="240"/>
      <c r="S74" s="241"/>
      <c r="T74" s="305"/>
      <c r="U74" s="288"/>
      <c r="V74" s="284"/>
      <c r="W74" s="240">
        <v>210847305</v>
      </c>
      <c r="X74" s="240"/>
      <c r="Y74" s="290" t="s">
        <v>440</v>
      </c>
      <c r="Z74" s="499" t="s">
        <v>256</v>
      </c>
      <c r="AA74" s="241">
        <v>1374</v>
      </c>
      <c r="AB74" s="5"/>
      <c r="AC74" s="241"/>
      <c r="AD74" s="5"/>
      <c r="AE74" s="241"/>
      <c r="AF74" s="5"/>
      <c r="AG74" s="241"/>
      <c r="AH74" s="240">
        <v>153455</v>
      </c>
      <c r="AI74" s="241"/>
      <c r="AJ74" s="241"/>
      <c r="AK74" s="241"/>
      <c r="AL74" s="241"/>
      <c r="AM74" s="240">
        <v>577663</v>
      </c>
      <c r="AN74" s="240">
        <v>44861128</v>
      </c>
      <c r="AO74" s="241"/>
      <c r="AP74" s="302" t="s">
        <v>440</v>
      </c>
      <c r="AQ74" s="302">
        <v>14.84</v>
      </c>
      <c r="AR74" s="541"/>
    </row>
    <row r="75" spans="1:44" ht="22.5" customHeight="1" x14ac:dyDescent="0.15">
      <c r="A75">
        <v>70</v>
      </c>
      <c r="B75" s="323" t="s">
        <v>112</v>
      </c>
      <c r="C75" s="324" t="s">
        <v>113</v>
      </c>
      <c r="D75" s="328" t="s">
        <v>35</v>
      </c>
      <c r="E75" s="328" t="s">
        <v>36</v>
      </c>
      <c r="F75" s="241">
        <v>69921857</v>
      </c>
      <c r="G75" s="240">
        <v>2222212</v>
      </c>
      <c r="H75" s="240"/>
      <c r="I75" s="283">
        <v>166765558</v>
      </c>
      <c r="J75" s="352">
        <v>10.5</v>
      </c>
      <c r="K75" s="284">
        <v>238909626</v>
      </c>
      <c r="L75" s="240"/>
      <c r="M75" s="240"/>
      <c r="N75" s="240"/>
      <c r="O75" s="240"/>
      <c r="P75" s="240"/>
      <c r="Q75" s="241"/>
      <c r="R75" s="240"/>
      <c r="S75" s="241"/>
      <c r="T75" s="305"/>
      <c r="U75" s="288"/>
      <c r="V75" s="284"/>
      <c r="W75" s="240">
        <v>238909626</v>
      </c>
      <c r="X75" s="240"/>
      <c r="Y75" s="290" t="s">
        <v>440</v>
      </c>
      <c r="Z75" s="5" t="s">
        <v>231</v>
      </c>
      <c r="AA75" s="241">
        <v>6185043732</v>
      </c>
      <c r="AB75" s="5" t="s">
        <v>257</v>
      </c>
      <c r="AC75" s="241">
        <v>508</v>
      </c>
      <c r="AD75" s="5"/>
      <c r="AE75" s="241"/>
      <c r="AF75" s="5"/>
      <c r="AG75" s="241"/>
      <c r="AH75" s="312">
        <v>3.8600000000000002E-2</v>
      </c>
      <c r="AI75" s="241">
        <v>470294</v>
      </c>
      <c r="AJ75" s="241"/>
      <c r="AK75" s="241"/>
      <c r="AL75" s="241">
        <v>1</v>
      </c>
      <c r="AM75" s="240">
        <v>654547</v>
      </c>
      <c r="AN75" s="240">
        <v>22753298</v>
      </c>
      <c r="AO75" s="241"/>
      <c r="AP75" s="302" t="s">
        <v>440</v>
      </c>
      <c r="AQ75" s="302">
        <v>29.27</v>
      </c>
      <c r="AR75" s="541" t="s">
        <v>148</v>
      </c>
    </row>
    <row r="76" spans="1:44" ht="22.5" customHeight="1" x14ac:dyDescent="0.15">
      <c r="A76">
        <v>71</v>
      </c>
      <c r="B76" s="328" t="s">
        <v>112</v>
      </c>
      <c r="C76" s="327" t="s">
        <v>342</v>
      </c>
      <c r="D76" s="328" t="s">
        <v>338</v>
      </c>
      <c r="E76" s="328" t="s">
        <v>339</v>
      </c>
      <c r="F76" s="241">
        <v>9988836</v>
      </c>
      <c r="G76" s="240">
        <v>1380123</v>
      </c>
      <c r="H76" s="240"/>
      <c r="I76" s="283">
        <v>40236395</v>
      </c>
      <c r="J76" s="352">
        <v>1.5</v>
      </c>
      <c r="K76" s="284">
        <v>51605355</v>
      </c>
      <c r="L76" s="240"/>
      <c r="M76" s="240"/>
      <c r="N76" s="240"/>
      <c r="O76" s="240"/>
      <c r="P76" s="240"/>
      <c r="Q76" s="241"/>
      <c r="R76" s="240"/>
      <c r="S76" s="241"/>
      <c r="T76" s="305"/>
      <c r="U76" s="288"/>
      <c r="V76" s="284"/>
      <c r="W76" s="240">
        <v>51605355</v>
      </c>
      <c r="X76" s="240">
        <v>38299000</v>
      </c>
      <c r="Y76" s="290">
        <v>74.22</v>
      </c>
      <c r="Z76" s="5" t="s">
        <v>450</v>
      </c>
      <c r="AA76" s="241">
        <v>2753</v>
      </c>
      <c r="AB76" s="5"/>
      <c r="AC76" s="241"/>
      <c r="AD76" s="5"/>
      <c r="AE76" s="241"/>
      <c r="AF76" s="5"/>
      <c r="AG76" s="241"/>
      <c r="AH76" s="240">
        <v>18745</v>
      </c>
      <c r="AI76" s="241" t="s">
        <v>440</v>
      </c>
      <c r="AJ76" s="241" t="s">
        <v>440</v>
      </c>
      <c r="AK76" s="241" t="s">
        <v>440</v>
      </c>
      <c r="AL76" s="313">
        <v>0.4</v>
      </c>
      <c r="AM76" s="240">
        <v>141384</v>
      </c>
      <c r="AN76" s="240">
        <v>34403570</v>
      </c>
      <c r="AO76" s="241"/>
      <c r="AP76" s="302"/>
      <c r="AQ76" s="302">
        <v>19.36</v>
      </c>
      <c r="AR76" s="541" t="s">
        <v>148</v>
      </c>
    </row>
    <row r="77" spans="1:44" ht="22.5" customHeight="1" x14ac:dyDescent="0.15">
      <c r="A77">
        <v>72</v>
      </c>
      <c r="B77" s="328" t="s">
        <v>112</v>
      </c>
      <c r="C77" s="327" t="s">
        <v>344</v>
      </c>
      <c r="D77" s="328" t="s">
        <v>338</v>
      </c>
      <c r="E77" s="328" t="s">
        <v>345</v>
      </c>
      <c r="F77" s="241">
        <v>665922</v>
      </c>
      <c r="G77" s="240">
        <v>3650526</v>
      </c>
      <c r="H77" s="240" t="s">
        <v>440</v>
      </c>
      <c r="I77" s="283"/>
      <c r="J77" s="352">
        <v>0.1</v>
      </c>
      <c r="K77" s="284">
        <v>4316449</v>
      </c>
      <c r="L77" s="240">
        <v>763807732</v>
      </c>
      <c r="M77" s="240">
        <v>475550389</v>
      </c>
      <c r="N77" s="240"/>
      <c r="O77" s="240">
        <v>449492729</v>
      </c>
      <c r="P77" s="240">
        <v>763807732</v>
      </c>
      <c r="Q77" s="241">
        <v>2051627</v>
      </c>
      <c r="R77" s="240">
        <v>925043118</v>
      </c>
      <c r="S77" s="241"/>
      <c r="T77" s="305"/>
      <c r="U77" s="288">
        <v>91</v>
      </c>
      <c r="V77" s="284">
        <v>1690902477</v>
      </c>
      <c r="W77" s="240">
        <v>1695218926</v>
      </c>
      <c r="X77" s="240">
        <v>1691762000</v>
      </c>
      <c r="Y77" s="290">
        <v>99.8</v>
      </c>
      <c r="Z77" s="5" t="s">
        <v>451</v>
      </c>
      <c r="AA77" s="241">
        <v>462170</v>
      </c>
      <c r="AB77" s="5"/>
      <c r="AC77" s="241"/>
      <c r="AD77" s="5"/>
      <c r="AE77" s="241"/>
      <c r="AF77" s="5"/>
      <c r="AG77" s="241"/>
      <c r="AH77" s="240">
        <v>3667</v>
      </c>
      <c r="AI77" s="241" t="s">
        <v>440</v>
      </c>
      <c r="AJ77" s="241" t="s">
        <v>440</v>
      </c>
      <c r="AK77" s="241" t="s">
        <v>440</v>
      </c>
      <c r="AL77" s="241">
        <v>13</v>
      </c>
      <c r="AM77" s="240">
        <v>4644435</v>
      </c>
      <c r="AN77" s="240">
        <v>18608330</v>
      </c>
      <c r="AO77" s="241"/>
      <c r="AP77" s="302"/>
      <c r="AQ77" s="302">
        <v>45.22</v>
      </c>
      <c r="AR77" s="541" t="s">
        <v>149</v>
      </c>
    </row>
    <row r="78" spans="1:44" ht="22.5" customHeight="1" x14ac:dyDescent="0.15">
      <c r="A78">
        <v>73</v>
      </c>
      <c r="B78" s="323" t="s">
        <v>112</v>
      </c>
      <c r="C78" s="324" t="s">
        <v>197</v>
      </c>
      <c r="D78" s="328" t="s">
        <v>35</v>
      </c>
      <c r="E78" s="328" t="s">
        <v>38</v>
      </c>
      <c r="F78" s="241">
        <v>61930787</v>
      </c>
      <c r="G78" s="240">
        <v>13621948</v>
      </c>
      <c r="H78" s="240"/>
      <c r="I78" s="283">
        <v>14225457</v>
      </c>
      <c r="J78" s="352">
        <v>9.3000000000000007</v>
      </c>
      <c r="K78" s="284">
        <v>89778192</v>
      </c>
      <c r="L78" s="240">
        <v>588008359</v>
      </c>
      <c r="M78" s="240">
        <v>204235235</v>
      </c>
      <c r="N78" s="240">
        <v>92629936</v>
      </c>
      <c r="O78" s="240">
        <v>31068260</v>
      </c>
      <c r="P78" s="240">
        <v>680638295</v>
      </c>
      <c r="Q78" s="241">
        <v>-49215</v>
      </c>
      <c r="R78" s="240">
        <v>235303495</v>
      </c>
      <c r="S78" s="241">
        <v>207617437</v>
      </c>
      <c r="T78" s="305"/>
      <c r="U78" s="288">
        <v>70.2</v>
      </c>
      <c r="V78" s="284">
        <v>1123510013</v>
      </c>
      <c r="W78" s="240">
        <v>1213288206</v>
      </c>
      <c r="X78" s="240">
        <v>220942139</v>
      </c>
      <c r="Y78" s="290">
        <v>18.21</v>
      </c>
      <c r="Z78" s="297" t="s">
        <v>262</v>
      </c>
      <c r="AA78" s="241">
        <v>2575</v>
      </c>
      <c r="AB78" s="294" t="s">
        <v>258</v>
      </c>
      <c r="AC78" s="241">
        <v>265</v>
      </c>
      <c r="AD78" s="5"/>
      <c r="AE78" s="241"/>
      <c r="AF78" s="5"/>
      <c r="AG78" s="241"/>
      <c r="AH78" s="240">
        <v>471179</v>
      </c>
      <c r="AI78" s="241">
        <v>4578446</v>
      </c>
      <c r="AJ78" s="241"/>
      <c r="AK78" s="241"/>
      <c r="AL78" s="241">
        <v>9</v>
      </c>
      <c r="AM78" s="240">
        <v>3324077</v>
      </c>
      <c r="AN78" s="240">
        <v>15261486</v>
      </c>
      <c r="AO78" s="241"/>
      <c r="AP78" s="302" t="s">
        <v>440</v>
      </c>
      <c r="AQ78" s="302">
        <v>61.2</v>
      </c>
      <c r="AR78" s="541" t="s">
        <v>149</v>
      </c>
    </row>
    <row r="79" spans="1:44" ht="22.5" customHeight="1" x14ac:dyDescent="0.15">
      <c r="A79">
        <v>74</v>
      </c>
      <c r="B79" s="328" t="s">
        <v>114</v>
      </c>
      <c r="C79" s="327" t="s">
        <v>340</v>
      </c>
      <c r="D79" s="328" t="s">
        <v>338</v>
      </c>
      <c r="E79" s="328" t="s">
        <v>339</v>
      </c>
      <c r="F79" s="241">
        <v>32630199</v>
      </c>
      <c r="G79" s="240">
        <v>16924045</v>
      </c>
      <c r="H79" s="240">
        <v>1944134</v>
      </c>
      <c r="I79" s="283">
        <v>5038887540</v>
      </c>
      <c r="J79" s="352">
        <v>4.9000000000000004</v>
      </c>
      <c r="K79" s="284">
        <v>5090385920</v>
      </c>
      <c r="L79" s="240"/>
      <c r="M79" s="240"/>
      <c r="N79" s="240"/>
      <c r="O79" s="240"/>
      <c r="P79" s="240"/>
      <c r="Q79" s="241"/>
      <c r="R79" s="240"/>
      <c r="S79" s="241"/>
      <c r="T79" s="305"/>
      <c r="U79" s="288"/>
      <c r="V79" s="284"/>
      <c r="W79" s="240">
        <v>5090385920</v>
      </c>
      <c r="X79" s="240"/>
      <c r="Y79" s="290"/>
      <c r="Z79" s="5" t="s">
        <v>259</v>
      </c>
      <c r="AA79" s="241">
        <v>43</v>
      </c>
      <c r="AB79" s="5"/>
      <c r="AC79" s="241"/>
      <c r="AD79" s="5"/>
      <c r="AE79" s="241"/>
      <c r="AF79" s="5"/>
      <c r="AG79" s="241"/>
      <c r="AH79" s="240">
        <v>118381067</v>
      </c>
      <c r="AI79" s="241" t="s">
        <v>440</v>
      </c>
      <c r="AJ79" s="241" t="s">
        <v>440</v>
      </c>
      <c r="AK79" s="241" t="s">
        <v>440</v>
      </c>
      <c r="AL79" s="241">
        <v>40</v>
      </c>
      <c r="AM79" s="240">
        <v>13946262</v>
      </c>
      <c r="AN79" s="240">
        <v>1038854269</v>
      </c>
      <c r="AO79" s="241"/>
      <c r="AP79" s="302"/>
      <c r="AQ79" s="302">
        <v>0.64</v>
      </c>
      <c r="AR79" s="541" t="s">
        <v>148</v>
      </c>
    </row>
    <row r="80" spans="1:44" ht="22.5" customHeight="1" x14ac:dyDescent="0.15">
      <c r="A80">
        <v>75</v>
      </c>
      <c r="B80" s="328" t="s">
        <v>114</v>
      </c>
      <c r="C80" s="327" t="s">
        <v>439</v>
      </c>
      <c r="D80" s="328" t="s">
        <v>338</v>
      </c>
      <c r="E80" s="328" t="s">
        <v>339</v>
      </c>
      <c r="F80" s="241">
        <v>3995534</v>
      </c>
      <c r="G80" s="240">
        <v>888220</v>
      </c>
      <c r="H80" s="240">
        <v>342328</v>
      </c>
      <c r="I80" s="283">
        <v>95392618</v>
      </c>
      <c r="J80" s="352">
        <v>0.6</v>
      </c>
      <c r="K80" s="284">
        <v>100618701</v>
      </c>
      <c r="L80" s="240"/>
      <c r="M80" s="240"/>
      <c r="N80" s="240"/>
      <c r="O80" s="240"/>
      <c r="P80" s="240"/>
      <c r="Q80" s="241"/>
      <c r="R80" s="240"/>
      <c r="S80" s="241"/>
      <c r="T80" s="305"/>
      <c r="U80" s="288"/>
      <c r="V80" s="284"/>
      <c r="W80" s="240">
        <v>100618701</v>
      </c>
      <c r="X80" s="240"/>
      <c r="Y80" s="290"/>
      <c r="Z80" s="5" t="s">
        <v>375</v>
      </c>
      <c r="AA80" s="241">
        <v>5</v>
      </c>
      <c r="AB80" s="5"/>
      <c r="AC80" s="241"/>
      <c r="AD80" s="5"/>
      <c r="AE80" s="241"/>
      <c r="AF80" s="5"/>
      <c r="AG80" s="241"/>
      <c r="AH80" s="240">
        <v>20123740</v>
      </c>
      <c r="AI80" s="241" t="s">
        <v>440</v>
      </c>
      <c r="AJ80" s="241" t="s">
        <v>440</v>
      </c>
      <c r="AK80" s="241" t="s">
        <v>440</v>
      </c>
      <c r="AL80" s="313">
        <v>0.7</v>
      </c>
      <c r="AM80" s="240">
        <v>275667</v>
      </c>
      <c r="AN80" s="240"/>
      <c r="AO80" s="241"/>
      <c r="AP80" s="302"/>
      <c r="AQ80" s="302">
        <v>3.97</v>
      </c>
      <c r="AR80" s="541" t="s">
        <v>148</v>
      </c>
    </row>
    <row r="81" spans="1:44" ht="22.5" customHeight="1" x14ac:dyDescent="0.15">
      <c r="A81">
        <v>76</v>
      </c>
      <c r="B81" s="328" t="s">
        <v>114</v>
      </c>
      <c r="C81" s="327" t="s">
        <v>341</v>
      </c>
      <c r="D81" s="328" t="s">
        <v>338</v>
      </c>
      <c r="E81" s="328" t="s">
        <v>339</v>
      </c>
      <c r="F81" s="241">
        <v>6659224</v>
      </c>
      <c r="G81" s="240">
        <v>2392211</v>
      </c>
      <c r="H81" s="240">
        <v>283737</v>
      </c>
      <c r="I81" s="283">
        <v>53852352</v>
      </c>
      <c r="J81" s="352">
        <v>1</v>
      </c>
      <c r="K81" s="284">
        <v>63187525</v>
      </c>
      <c r="L81" s="240"/>
      <c r="M81" s="240"/>
      <c r="N81" s="240"/>
      <c r="O81" s="240"/>
      <c r="P81" s="240"/>
      <c r="Q81" s="241"/>
      <c r="R81" s="240"/>
      <c r="S81" s="241"/>
      <c r="T81" s="305"/>
      <c r="U81" s="288"/>
      <c r="V81" s="284"/>
      <c r="W81" s="240">
        <v>63187525</v>
      </c>
      <c r="X81" s="240">
        <v>8774400</v>
      </c>
      <c r="Y81" s="290">
        <v>13.89</v>
      </c>
      <c r="Z81" s="5" t="s">
        <v>450</v>
      </c>
      <c r="AA81" s="241">
        <v>1371</v>
      </c>
      <c r="AB81" s="5"/>
      <c r="AC81" s="241"/>
      <c r="AD81" s="5"/>
      <c r="AE81" s="241"/>
      <c r="AF81" s="5"/>
      <c r="AG81" s="241"/>
      <c r="AH81" s="240">
        <v>46088</v>
      </c>
      <c r="AI81" s="241" t="s">
        <v>440</v>
      </c>
      <c r="AJ81" s="241" t="s">
        <v>440</v>
      </c>
      <c r="AK81" s="241" t="s">
        <v>440</v>
      </c>
      <c r="AL81" s="313">
        <v>0.4</v>
      </c>
      <c r="AM81" s="240">
        <v>173116</v>
      </c>
      <c r="AN81" s="240">
        <v>63187525</v>
      </c>
      <c r="AO81" s="241"/>
      <c r="AP81" s="302"/>
      <c r="AQ81" s="302">
        <v>10.54</v>
      </c>
      <c r="AR81" s="541" t="s">
        <v>148</v>
      </c>
    </row>
    <row r="82" spans="1:44" ht="22.5" customHeight="1" x14ac:dyDescent="0.15">
      <c r="A82">
        <v>77</v>
      </c>
      <c r="B82" s="331" t="s">
        <v>114</v>
      </c>
      <c r="C82" s="324" t="s">
        <v>116</v>
      </c>
      <c r="D82" s="328" t="s">
        <v>35</v>
      </c>
      <c r="E82" s="328" t="s">
        <v>36</v>
      </c>
      <c r="F82" s="241">
        <v>5327379</v>
      </c>
      <c r="G82" s="240">
        <v>2204527</v>
      </c>
      <c r="H82" s="240">
        <v>41630</v>
      </c>
      <c r="I82" s="283">
        <v>1047363</v>
      </c>
      <c r="J82" s="352">
        <v>0.8</v>
      </c>
      <c r="K82" s="284">
        <v>8620901</v>
      </c>
      <c r="L82" s="240"/>
      <c r="M82" s="240"/>
      <c r="N82" s="240"/>
      <c r="O82" s="240"/>
      <c r="P82" s="240"/>
      <c r="Q82" s="241"/>
      <c r="R82" s="240"/>
      <c r="S82" s="241"/>
      <c r="T82" s="305"/>
      <c r="U82" s="288"/>
      <c r="V82" s="284"/>
      <c r="W82" s="240">
        <v>8620901</v>
      </c>
      <c r="X82" s="240">
        <v>3195900</v>
      </c>
      <c r="Y82" s="290">
        <v>37.07</v>
      </c>
      <c r="Z82" s="5" t="s">
        <v>241</v>
      </c>
      <c r="AA82" s="241">
        <v>67</v>
      </c>
      <c r="AB82" s="5"/>
      <c r="AC82" s="241"/>
      <c r="AD82" s="5"/>
      <c r="AE82" s="241"/>
      <c r="AF82" s="5"/>
      <c r="AG82" s="241"/>
      <c r="AH82" s="240">
        <v>128670</v>
      </c>
      <c r="AI82" s="241"/>
      <c r="AJ82" s="241"/>
      <c r="AK82" s="241"/>
      <c r="AL82" s="314">
        <v>0.06</v>
      </c>
      <c r="AM82" s="240">
        <v>23618</v>
      </c>
      <c r="AN82" s="240"/>
      <c r="AO82" s="241"/>
      <c r="AP82" s="302" t="s">
        <v>440</v>
      </c>
      <c r="AQ82" s="302">
        <v>61.8</v>
      </c>
      <c r="AR82" s="541" t="s">
        <v>148</v>
      </c>
    </row>
    <row r="83" spans="1:44" ht="22.5" customHeight="1" x14ac:dyDescent="0.15">
      <c r="A83">
        <v>78</v>
      </c>
      <c r="B83" s="331" t="s">
        <v>114</v>
      </c>
      <c r="C83" s="324" t="s">
        <v>115</v>
      </c>
      <c r="D83" s="328" t="s">
        <v>87</v>
      </c>
      <c r="E83" s="328" t="s">
        <v>38</v>
      </c>
      <c r="F83" s="241">
        <v>21975440</v>
      </c>
      <c r="G83" s="240">
        <v>7117041</v>
      </c>
      <c r="H83" s="240">
        <v>1462140</v>
      </c>
      <c r="I83" s="283">
        <v>62368000</v>
      </c>
      <c r="J83" s="352">
        <v>3.3</v>
      </c>
      <c r="K83" s="284">
        <v>92922622</v>
      </c>
      <c r="L83" s="240">
        <v>82342519</v>
      </c>
      <c r="M83" s="240">
        <v>221413463</v>
      </c>
      <c r="N83" s="240">
        <v>42426839</v>
      </c>
      <c r="O83" s="240">
        <v>39838806</v>
      </c>
      <c r="P83" s="240">
        <v>124769358</v>
      </c>
      <c r="Q83" s="241">
        <v>4570274</v>
      </c>
      <c r="R83" s="240">
        <v>261252269</v>
      </c>
      <c r="S83" s="241"/>
      <c r="T83" s="305"/>
      <c r="U83" s="288">
        <v>13.7</v>
      </c>
      <c r="V83" s="284">
        <v>390591901</v>
      </c>
      <c r="W83" s="240">
        <v>483514523</v>
      </c>
      <c r="X83" s="240"/>
      <c r="Y83" s="290" t="s">
        <v>440</v>
      </c>
      <c r="Z83" s="5" t="s">
        <v>259</v>
      </c>
      <c r="AA83" s="241">
        <v>170</v>
      </c>
      <c r="AB83" s="5"/>
      <c r="AC83" s="241"/>
      <c r="AD83" s="5"/>
      <c r="AE83" s="241"/>
      <c r="AF83" s="5"/>
      <c r="AG83" s="241"/>
      <c r="AH83" s="240">
        <v>2844203</v>
      </c>
      <c r="AI83" s="241"/>
      <c r="AJ83" s="241"/>
      <c r="AK83" s="241"/>
      <c r="AL83" s="241">
        <v>3</v>
      </c>
      <c r="AM83" s="240">
        <v>1324697</v>
      </c>
      <c r="AN83" s="240">
        <v>28442030</v>
      </c>
      <c r="AO83" s="241">
        <v>4722354712</v>
      </c>
      <c r="AP83" s="302">
        <v>10.24</v>
      </c>
      <c r="AQ83" s="302">
        <v>31.29</v>
      </c>
      <c r="AR83" s="541" t="s">
        <v>151</v>
      </c>
    </row>
    <row r="84" spans="1:44" ht="22.5" customHeight="1" x14ac:dyDescent="0.15">
      <c r="A84">
        <v>79</v>
      </c>
      <c r="B84" s="328" t="s">
        <v>117</v>
      </c>
      <c r="C84" s="327" t="s">
        <v>336</v>
      </c>
      <c r="D84" s="328" t="s">
        <v>338</v>
      </c>
      <c r="E84" s="328" t="s">
        <v>339</v>
      </c>
      <c r="F84" s="241">
        <v>1564917746</v>
      </c>
      <c r="G84" s="240">
        <v>2159855249</v>
      </c>
      <c r="H84" s="240">
        <v>101879180</v>
      </c>
      <c r="I84" s="283">
        <v>1168776297</v>
      </c>
      <c r="J84" s="352">
        <v>235</v>
      </c>
      <c r="K84" s="284">
        <v>4995428472</v>
      </c>
      <c r="L84" s="240"/>
      <c r="M84" s="240"/>
      <c r="N84" s="240"/>
      <c r="O84" s="240"/>
      <c r="P84" s="240"/>
      <c r="Q84" s="241"/>
      <c r="R84" s="240"/>
      <c r="S84" s="241"/>
      <c r="T84" s="305"/>
      <c r="U84" s="288"/>
      <c r="V84" s="284"/>
      <c r="W84" s="240">
        <v>4995428472</v>
      </c>
      <c r="X84" s="240"/>
      <c r="Y84" s="290"/>
      <c r="Z84" s="5" t="s">
        <v>376</v>
      </c>
      <c r="AA84" s="241">
        <v>840</v>
      </c>
      <c r="AB84" s="5"/>
      <c r="AC84" s="241"/>
      <c r="AD84" s="5"/>
      <c r="AE84" s="241"/>
      <c r="AF84" s="5"/>
      <c r="AG84" s="241"/>
      <c r="AH84" s="240">
        <v>5946938</v>
      </c>
      <c r="AI84" s="241"/>
      <c r="AJ84" s="241"/>
      <c r="AK84" s="241" t="s">
        <v>440</v>
      </c>
      <c r="AL84" s="241">
        <v>39</v>
      </c>
      <c r="AM84" s="240">
        <v>13686105</v>
      </c>
      <c r="AN84" s="240">
        <v>21257142</v>
      </c>
      <c r="AO84" s="241"/>
      <c r="AP84" s="302"/>
      <c r="AQ84" s="302">
        <v>31.33</v>
      </c>
      <c r="AR84" s="541" t="s">
        <v>148</v>
      </c>
    </row>
    <row r="85" spans="1:44" ht="22.5" customHeight="1" x14ac:dyDescent="0.15">
      <c r="A85">
        <v>80</v>
      </c>
      <c r="B85" s="328" t="s">
        <v>117</v>
      </c>
      <c r="C85" s="327" t="s">
        <v>335</v>
      </c>
      <c r="D85" s="328" t="s">
        <v>338</v>
      </c>
      <c r="E85" s="328" t="s">
        <v>339</v>
      </c>
      <c r="F85" s="241">
        <v>2610415986</v>
      </c>
      <c r="G85" s="240">
        <v>1448282395</v>
      </c>
      <c r="H85" s="240">
        <v>396183895</v>
      </c>
      <c r="I85" s="283">
        <v>1247152553</v>
      </c>
      <c r="J85" s="352">
        <v>392</v>
      </c>
      <c r="K85" s="284">
        <v>5702034829</v>
      </c>
      <c r="L85" s="240"/>
      <c r="M85" s="240"/>
      <c r="N85" s="240"/>
      <c r="O85" s="240"/>
      <c r="P85" s="240"/>
      <c r="Q85" s="241"/>
      <c r="R85" s="240"/>
      <c r="S85" s="241"/>
      <c r="T85" s="305"/>
      <c r="U85" s="288"/>
      <c r="V85" s="284"/>
      <c r="W85" s="240">
        <v>5702034829</v>
      </c>
      <c r="X85" s="240">
        <v>0</v>
      </c>
      <c r="Y85" s="290">
        <v>0</v>
      </c>
      <c r="Z85" s="5" t="s">
        <v>376</v>
      </c>
      <c r="AA85" s="241">
        <v>2120</v>
      </c>
      <c r="AB85" s="5"/>
      <c r="AC85" s="241"/>
      <c r="AD85" s="5"/>
      <c r="AE85" s="241"/>
      <c r="AF85" s="5"/>
      <c r="AG85" s="241"/>
      <c r="AH85" s="240">
        <v>2689639</v>
      </c>
      <c r="AI85" s="241" t="s">
        <v>440</v>
      </c>
      <c r="AJ85" s="241" t="s">
        <v>440</v>
      </c>
      <c r="AK85" s="241" t="s">
        <v>440</v>
      </c>
      <c r="AL85" s="241">
        <v>45</v>
      </c>
      <c r="AM85" s="240">
        <v>15622013</v>
      </c>
      <c r="AN85" s="240">
        <v>14546007</v>
      </c>
      <c r="AO85" s="241"/>
      <c r="AP85" s="302"/>
      <c r="AQ85" s="302">
        <v>45.78</v>
      </c>
      <c r="AR85" s="541" t="s">
        <v>148</v>
      </c>
    </row>
    <row r="86" spans="1:44" ht="22.5" customHeight="1" x14ac:dyDescent="0.15">
      <c r="A86">
        <v>81</v>
      </c>
      <c r="B86" s="328" t="s">
        <v>117</v>
      </c>
      <c r="C86" s="327" t="s">
        <v>337</v>
      </c>
      <c r="D86" s="328" t="s">
        <v>338</v>
      </c>
      <c r="E86" s="328" t="s">
        <v>339</v>
      </c>
      <c r="F86" s="241">
        <v>18645828</v>
      </c>
      <c r="G86" s="240">
        <v>10354572</v>
      </c>
      <c r="H86" s="240">
        <v>252429</v>
      </c>
      <c r="I86" s="283"/>
      <c r="J86" s="352">
        <v>2.8</v>
      </c>
      <c r="K86" s="284">
        <v>29252829</v>
      </c>
      <c r="L86" s="240"/>
      <c r="M86" s="240"/>
      <c r="N86" s="240"/>
      <c r="O86" s="240"/>
      <c r="P86" s="240"/>
      <c r="Q86" s="241"/>
      <c r="R86" s="240"/>
      <c r="S86" s="241"/>
      <c r="T86" s="305"/>
      <c r="U86" s="288"/>
      <c r="V86" s="284"/>
      <c r="W86" s="240">
        <v>29252829</v>
      </c>
      <c r="X86" s="240"/>
      <c r="Y86" s="290"/>
      <c r="Z86" s="294" t="s">
        <v>500</v>
      </c>
      <c r="AA86" s="241">
        <v>3454</v>
      </c>
      <c r="AB86" s="5"/>
      <c r="AC86" s="241"/>
      <c r="AD86" s="5"/>
      <c r="AE86" s="241"/>
      <c r="AF86" s="5"/>
      <c r="AG86" s="241"/>
      <c r="AH86" s="240">
        <v>8469</v>
      </c>
      <c r="AI86" s="241" t="s">
        <v>440</v>
      </c>
      <c r="AJ86" s="241" t="s">
        <v>440</v>
      </c>
      <c r="AK86" s="241" t="s">
        <v>440</v>
      </c>
      <c r="AL86" s="313">
        <v>0.2</v>
      </c>
      <c r="AM86" s="240">
        <v>80144</v>
      </c>
      <c r="AN86" s="240">
        <v>10447439</v>
      </c>
      <c r="AO86" s="241"/>
      <c r="AP86" s="302"/>
      <c r="AQ86" s="302">
        <v>63.74</v>
      </c>
      <c r="AR86" s="541" t="s">
        <v>148</v>
      </c>
    </row>
    <row r="87" spans="1:44" ht="18" customHeight="1" x14ac:dyDescent="0.15">
      <c r="B87" s="538" t="s">
        <v>493</v>
      </c>
    </row>
    <row r="88" spans="1:44" ht="18" customHeight="1" x14ac:dyDescent="0.15">
      <c r="B88" s="539" t="s">
        <v>494</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67</v>
      </c>
      <c r="G96" s="1" t="s">
        <v>12</v>
      </c>
      <c r="H96" s="1" t="s">
        <v>14</v>
      </c>
      <c r="X96" s="3"/>
      <c r="Y96" s="106"/>
      <c r="AO96" s="3"/>
      <c r="AP96" s="106"/>
      <c r="AQ96" s="106"/>
    </row>
    <row r="97" spans="5:43" x14ac:dyDescent="0.15">
      <c r="E97" s="3" t="s">
        <v>148</v>
      </c>
      <c r="F97" s="106">
        <f>AQ98</f>
        <v>27.106279069767439</v>
      </c>
      <c r="G97" s="106">
        <f>Y98</f>
        <v>51.691666666666677</v>
      </c>
      <c r="H97" s="106" t="e">
        <f>AP98</f>
        <v>#DIV/0!</v>
      </c>
      <c r="X97" s="3"/>
      <c r="Y97" s="106"/>
      <c r="AO97" s="3"/>
      <c r="AP97" s="106"/>
      <c r="AQ97" s="106"/>
    </row>
    <row r="98" spans="5:43" x14ac:dyDescent="0.15">
      <c r="E98" s="3" t="s">
        <v>152</v>
      </c>
      <c r="F98" s="106">
        <f t="shared" ref="F98:F100" si="0">AQ99</f>
        <v>41.50950000000001</v>
      </c>
      <c r="G98" s="106">
        <f t="shared" ref="G98:G100" si="1">Y99</f>
        <v>33.571999999999996</v>
      </c>
      <c r="H98" s="106" t="e">
        <f t="shared" ref="H98:H100" si="2">AP99</f>
        <v>#DIV/0!</v>
      </c>
      <c r="X98" s="3" t="s">
        <v>148</v>
      </c>
      <c r="Y98" s="106">
        <f>AVERAGEIF($AR$6:$AR$86,"=直接行政サービス事業（直接型）",Y$6:Y$86)</f>
        <v>51.691666666666677</v>
      </c>
      <c r="AO98" s="3" t="s">
        <v>148</v>
      </c>
      <c r="AP98" s="106" t="e">
        <f>AVERAGEIF($AR$6:$AR$86,"=直接行政サービス事業（直接型）",AP$6:AP$86)</f>
        <v>#DIV/0!</v>
      </c>
      <c r="AQ98" s="106">
        <f>AVERAGEIF($AR$6:$AR$86,"=直接行政サービス事業（直接型）",AQ$6:AQ$86)</f>
        <v>27.106279069767439</v>
      </c>
    </row>
    <row r="99" spans="5:43" x14ac:dyDescent="0.15">
      <c r="E99" s="3" t="s">
        <v>153</v>
      </c>
      <c r="F99" s="106">
        <f t="shared" si="0"/>
        <v>40.223333333333336</v>
      </c>
      <c r="G99" s="106" t="e">
        <f t="shared" si="1"/>
        <v>#DIV/0!</v>
      </c>
      <c r="H99" s="106">
        <f t="shared" si="2"/>
        <v>3.8016666666666672</v>
      </c>
      <c r="X99" s="3" t="s">
        <v>152</v>
      </c>
      <c r="Y99" s="106">
        <f>AVERAGEIF($AR$6:$AR$86,"=直接行政サービス事業（間接型）",Y$6:Y$86)</f>
        <v>33.571999999999996</v>
      </c>
      <c r="AO99" s="3" t="s">
        <v>152</v>
      </c>
      <c r="AP99" s="106" t="e">
        <f>AVERAGEIF($AR$6:$AR$86,"=直接行政サービス事業（間接型）",AP$6:AP$86)</f>
        <v>#DIV/0!</v>
      </c>
      <c r="AQ99" s="106">
        <f>AVERAGEIF($AR$6:$AR$86,"=直接行政サービス事業（間接型）",AQ$6:AQ$86)</f>
        <v>41.50950000000001</v>
      </c>
    </row>
    <row r="100" spans="5:43" x14ac:dyDescent="0.15">
      <c r="E100" s="3" t="s">
        <v>154</v>
      </c>
      <c r="F100" s="106">
        <f t="shared" si="0"/>
        <v>34.041428571428575</v>
      </c>
      <c r="G100" s="106">
        <f t="shared" si="1"/>
        <v>57.41</v>
      </c>
      <c r="H100" s="106">
        <f t="shared" si="2"/>
        <v>14.038571428571428</v>
      </c>
      <c r="X100" s="3" t="s">
        <v>153</v>
      </c>
      <c r="Y100" s="106" t="e">
        <f>AVERAGEIF($AR$6:$AR$86,"=資源配分事業（直接型）",Y$6:Y$86)</f>
        <v>#DIV/0!</v>
      </c>
      <c r="AO100" s="3" t="s">
        <v>153</v>
      </c>
      <c r="AP100" s="106">
        <f>AVERAGEIF($AR$6:$AR$86,"=資源配分事業（直接型）",AP$6:AP$86)</f>
        <v>3.8016666666666672</v>
      </c>
      <c r="AQ100" s="106">
        <f>AVERAGEIF($AR$6:$AR$86,"=資源配分事業（直接型）",AQ$6:AQ$86)</f>
        <v>40.223333333333336</v>
      </c>
    </row>
    <row r="101" spans="5:43" x14ac:dyDescent="0.15">
      <c r="X101" s="3" t="s">
        <v>154</v>
      </c>
      <c r="Y101" s="106">
        <f>AVERAGEIF($AR$6:$AR$86,"=資源配分事業（間接型）",Y$6:Y$86)</f>
        <v>57.41</v>
      </c>
      <c r="AO101" s="3" t="s">
        <v>154</v>
      </c>
      <c r="AP101" s="106">
        <f>AVERAGEIF($AR$6:$AR$86,"=資源配分事業（間接型）",AP$6:AP$86)</f>
        <v>14.038571428571428</v>
      </c>
      <c r="AQ101" s="106">
        <f>AVERAGEIF($AR$6:$AR$86,"=資源配分事業（間接型）",AQ$6:AQ$86)</f>
        <v>34.041428571428575</v>
      </c>
    </row>
  </sheetData>
  <mergeCells count="28">
    <mergeCell ref="B3:B4"/>
    <mergeCell ref="C3:C4"/>
    <mergeCell ref="D3:D4"/>
    <mergeCell ref="E3:E4"/>
    <mergeCell ref="F3:K3"/>
    <mergeCell ref="L3:V3"/>
    <mergeCell ref="W3:W4"/>
    <mergeCell ref="X3:X4"/>
    <mergeCell ref="Y3:Y4"/>
    <mergeCell ref="AR3:AR5"/>
    <mergeCell ref="AN3:AN4"/>
    <mergeCell ref="AO3:AO4"/>
    <mergeCell ref="AP3:AP4"/>
    <mergeCell ref="AQ3:AQ4"/>
    <mergeCell ref="Z3:Z4"/>
    <mergeCell ref="AA3:AA4"/>
    <mergeCell ref="AB3:AB4"/>
    <mergeCell ref="AC3:AC4"/>
    <mergeCell ref="AD3:AD4"/>
    <mergeCell ref="AE3:AE4"/>
    <mergeCell ref="AF3:AF4"/>
    <mergeCell ref="AL3:AL4"/>
    <mergeCell ref="AM3:AM4"/>
    <mergeCell ref="AG3:AG4"/>
    <mergeCell ref="AH3:AH4"/>
    <mergeCell ref="AI3:AI4"/>
    <mergeCell ref="AJ3:AJ4"/>
    <mergeCell ref="AK3:AK4"/>
  </mergeCells>
  <phoneticPr fontId="2"/>
  <pageMargins left="0.51181102362204722" right="0.31496062992125984" top="0.15748031496062992" bottom="0.15748031496062992" header="0.31496062992125984" footer="0.31496062992125984"/>
  <pageSetup paperSize="8" scale="44"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19</vt:i4>
      </vt:variant>
    </vt:vector>
  </HeadingPairs>
  <TitlesOfParts>
    <vt:vector size="33" baseType="lpstr">
      <vt:lpstr>①事業一覧</vt:lpstr>
      <vt:lpstr>②フルコスト分析シート</vt:lpstr>
      <vt:lpstr>③フルコスト分析シートの説明</vt:lpstr>
      <vt:lpstr>④留意事項</vt:lpstr>
      <vt:lpstr>⑤参考情報</vt:lpstr>
      <vt:lpstr>⑥フルコスト情報の見方</vt:lpstr>
      <vt:lpstr>⑦令和元年度</vt:lpstr>
      <vt:lpstr>⑧平成30年度</vt:lpstr>
      <vt:lpstr>⑨平成29年度</vt:lpstr>
      <vt:lpstr>⑩平成28年度</vt:lpstr>
      <vt:lpstr>⑪平成27年度</vt:lpstr>
      <vt:lpstr>⑫平成26年度</vt:lpstr>
      <vt:lpstr>⑬計算シート</vt:lpstr>
      <vt:lpstr>⑭人にかかるコストの基礎データ</vt:lpstr>
      <vt:lpstr>①事業一覧!Print_Area</vt:lpstr>
      <vt:lpstr>④留意事項!Print_Area</vt:lpstr>
      <vt:lpstr>⑤参考情報!Print_Area</vt:lpstr>
      <vt:lpstr>⑥フルコスト情報の見方!Print_Area</vt:lpstr>
      <vt:lpstr>⑦令和元年度!Print_Area</vt:lpstr>
      <vt:lpstr>⑧平成30年度!Print_Area</vt:lpstr>
      <vt:lpstr>⑨平成29年度!Print_Area</vt:lpstr>
      <vt:lpstr>⑩平成28年度!Print_Area</vt:lpstr>
      <vt:lpstr>⑪平成27年度!Print_Area</vt:lpstr>
      <vt:lpstr>⑫平成26年度!Print_Area</vt:lpstr>
      <vt:lpstr>⑬計算シート!Print_Area</vt:lpstr>
      <vt:lpstr>⑭人にかかるコストの基礎データ!Print_Area</vt:lpstr>
      <vt:lpstr>①事業一覧!Print_Titles</vt:lpstr>
      <vt:lpstr>⑦令和元年度!Print_Titles</vt:lpstr>
      <vt:lpstr>⑧平成30年度!Print_Titles</vt:lpstr>
      <vt:lpstr>⑨平成29年度!Print_Titles</vt:lpstr>
      <vt:lpstr>⑩平成28年度!Print_Titles</vt:lpstr>
      <vt:lpstr>⑪平成27年度!Print_Titles</vt:lpstr>
      <vt:lpstr>⑫平成26年度!Print_Titles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望月雄斗</dc:creator>
  <cp:lastModifiedBy> </cp:lastModifiedBy>
  <cp:lastPrinted>2021-01-21T08:43:15Z</cp:lastPrinted>
  <dcterms:created xsi:type="dcterms:W3CDTF">2018-07-30T05:44:25Z</dcterms:created>
  <dcterms:modified xsi:type="dcterms:W3CDTF">2021-01-22T08:07:35Z</dcterms:modified>
</cp:coreProperties>
</file>